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dCDfs9Q7MsDZaoN4rLH8IIToeeBmYIIX5s9rv9cmSxvNyoEfe0TeOL8lhYtaUJOjceHYGEhquediH59JIahHhA==" workbookSaltValue="9+y1bcoarrd/CP9VExS06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1" i="12"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N13" i="2"/>
  <c r="AL11" i="11"/>
  <c r="AO9" i="11"/>
  <c r="E11" i="6"/>
  <c r="AC10" i="11"/>
  <c r="H13" i="12"/>
  <c r="AJ19" i="8"/>
  <c r="T13" i="12"/>
  <c r="S19"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E19" i="8"/>
  <c r="BG16" i="8"/>
  <c r="AW18" i="21"/>
  <c r="Z19" i="8"/>
  <c r="BE12" i="8"/>
  <c r="BG12" i="8"/>
  <c r="AB19" i="8"/>
  <c r="C10" i="6"/>
  <c r="BG10" i="8"/>
  <c r="K10" i="7" s="1"/>
  <c r="AO16" i="11"/>
  <c r="AL10" i="11"/>
  <c r="H12" i="7"/>
  <c r="H12" i="2"/>
  <c r="L11" i="14"/>
  <c r="E18" i="2"/>
  <c r="F18" i="2" s="1"/>
  <c r="AO17" i="11"/>
  <c r="AL15" i="11"/>
  <c r="L16" i="14"/>
  <c r="B12" i="6"/>
  <c r="L12" i="14"/>
  <c r="B17" i="6"/>
  <c r="C17" i="6"/>
  <c r="M18" i="2"/>
  <c r="N18" i="2"/>
  <c r="N19" i="2" s="1"/>
  <c r="F15" i="11"/>
  <c r="BE12" i="13"/>
  <c r="F16" i="17"/>
  <c r="BG16" i="13"/>
  <c r="BD16" i="13"/>
  <c r="BE16" i="13"/>
  <c r="H15" i="2"/>
  <c r="E15" i="6"/>
  <c r="B16" i="6"/>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8" i="11"/>
  <c r="I17" i="12"/>
  <c r="AL18" i="11"/>
  <c r="G19" i="7"/>
  <c r="H13" i="2"/>
  <c r="F19" i="7"/>
  <c r="BE13" i="13"/>
  <c r="BG13" i="13"/>
  <c r="Y13" i="11"/>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<sst xmlns="http://schemas.openxmlformats.org/spreadsheetml/2006/main" count="2102" uniqueCount="918">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</sst>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jChTByShmKwjkRtX9ha1JI3SjRglqThyvGDLzpyVjHlaYS96qs7jL70KoQHZqf+WwEgPQCVg6YWeWFqSxFN9g==" saltValue="oJ3SjbM5GWHWnTh8kaOo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0</v>
      </c>
      <c r="F10" s="225">
        <f>IF(ISNUMBER(Datos!K10),Datos!K10," - ")</f>
        <v>3</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-0.21428571428571427</v>
      </c>
      <c r="L10" s="1024">
        <f>IF(ISNUMBER(NºAsuntos!I10/NºAsuntos!G10),(NºAsuntos!I10/NºAsuntos!G10)*11," - ")</f>
        <v>40.333333333333329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59.116883116883116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0</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1935</v>
      </c>
      <c r="D16" s="224">
        <f>IF(ISNUMBER(IF(D_I="SI",Datos!I16,Datos!I16+Datos!AC16)),IF(D_I="SI",Datos!I16,Datos!I16+Datos!AC16)," - ")</f>
        <v>1930</v>
      </c>
      <c r="E16" s="225">
        <f>IF(ISNUMBER(IF(D_I="SI",Datos!J16,Datos!J16+Datos!AD16)),IF(D_I="SI",Datos!J16,Datos!J16+Datos!AD16)," - ")</f>
        <v>871</v>
      </c>
      <c r="F16" s="225">
        <f>IF(ISNUMBER(IF(D_I="SI",Datos!K16,Datos!K16+Datos!AE16)),IF(D_I="SI",Datos!K16,Datos!K16+Datos!AE16)," - ")</f>
        <v>661</v>
      </c>
      <c r="G16" s="1033" t="str">
        <f>IF(Datos!E16&lt;&gt;"",Datos!E16,Datos!D16)</f>
        <v>04</v>
      </c>
      <c r="H16" s="226">
        <f>IF(ISNUMBER(IF(D_I="SI",Datos!L16,Datos!L16+Datos!AF16)),IF(D_I="SI",Datos!L16,Datos!L16+Datos!AF16)," - ")</f>
        <v>2145</v>
      </c>
      <c r="I16" s="1043" t="str">
        <f>IF(ISNUMBER(Datos!AS16/Datos!BM16),Datos!AS16/Datos!BM16," - ")</f>
        <v xml:space="preserve"> - </v>
      </c>
      <c r="J16" s="1044">
        <f>IF(ISNUMBER(Datos!BY16/Datos!CN16),Datos!BY16/Datos!CN16," - ")</f>
        <v>0</v>
      </c>
      <c r="K16" s="229">
        <f t="shared" si="3"/>
        <v>0.10852713178294573</v>
      </c>
      <c r="L16" s="1024">
        <f>IF(ISNUMBER(NºAsuntos!I16/NºAsuntos!G16),(NºAsuntos!I16/NºAsuntos!G16)*11," - ")</f>
        <v>35.695915279878975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126</v>
      </c>
      <c r="D17" s="224">
        <f>IF(ISNUMBER(IF(D_I="SI",Datos!I17,Datos!I17+Datos!AC17)),IF(D_I="SI",Datos!I17,Datos!I17+Datos!AC17)," - ")</f>
        <v>126</v>
      </c>
      <c r="E17" s="225">
        <f>IF(ISNUMBER(IF(D_I="SI",Datos!J17,Datos!J17+Datos!AD17)),IF(D_I="SI",Datos!J17,Datos!J17+Datos!AD17)," - ")</f>
        <v>0</v>
      </c>
      <c r="F17" s="225">
        <f>IF(ISNUMBER(IF(D_I="SI",Datos!K17,Datos!K17+Datos!AE17)),IF(D_I="SI",Datos!K17,Datos!K17+Datos!AE17)," - ")</f>
        <v>23</v>
      </c>
      <c r="G17" s="1033" t="str">
        <f>IF(Datos!E17&lt;&gt;"",Datos!E17,Datos!D17)</f>
        <v>37</v>
      </c>
      <c r="H17" s="226">
        <f>IF(ISNUMBER(IF(D_I="SI",Datos!L17,Datos!L17+Datos!AF17)),IF(D_I="SI",Datos!L17,Datos!L17+Datos!AF17)," - ")</f>
        <v>103</v>
      </c>
      <c r="I17" s="1043" t="str">
        <f>IF(ISNUMBER(Datos!AS17/Datos!BM17),Datos!AS17/Datos!BM17," - ")</f>
        <v xml:space="preserve"> - </v>
      </c>
      <c r="J17" s="1044" t="str">
        <f>IF(ISNUMBER((Datos!BY17+Datos!BZ17)/Datos!CN17),(Datos!BY17+Datos!BZ17)/Datos!CN17," - ")</f>
        <v xml:space="preserve"> - </v>
      </c>
      <c r="K17" s="229">
        <f t="shared" si="3"/>
        <v>-0.18253968253968253</v>
      </c>
      <c r="L17" s="1024">
        <f>IF(ISNUMBER(NºAsuntos!I17/NºAsuntos!G17),(NºAsuntos!I17/NºAsuntos!G17)*11," - ")</f>
        <v>49.260869565217398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2061</v>
      </c>
      <c r="D18" s="1048">
        <f>SUBTOTAL(9,D15:D17)</f>
        <v>2056</v>
      </c>
      <c r="E18" s="1049">
        <f>SUBTOTAL(9,E15:E17)</f>
        <v>871</v>
      </c>
      <c r="F18" s="1049">
        <f>SUBTOTAL(9,F15:F17)</f>
        <v>684</v>
      </c>
      <c r="G18" s="1051" t="str">
        <f ca="1">INDIRECT(CONCATENATE("G",ROW()-1))</f>
        <v>37</v>
      </c>
      <c r="H18" s="1052">
        <f ca="1">SUMIF(G$14:G17,G18,H$14:H17)</f>
        <v>103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2075</v>
      </c>
      <c r="D19" s="1070">
        <f>SUBTOTAL(9,D9:D18)</f>
        <v>2070</v>
      </c>
      <c r="E19" s="1071">
        <f>SUBTOTAL(9,E9:E18)</f>
        <v>871</v>
      </c>
      <c r="F19" s="1071">
        <f>SUBTOTAL(9,F9:F18)</f>
        <v>687</v>
      </c>
      <c r="G19" s="1072"/>
      <c r="H19" s="1073">
        <f ca="1">SUMIF(B9:B18,"TOTAL",H9:H18)</f>
        <v>103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92aMEDkRslkzYtpY9ostOMmnFro2v7vFgshIGJIMnO3WIB7DSHG7fshdJwxogbUItV7sOmyAVWm0fjhqr8ClQ==" saltValue="0MmvRzPRxNMhUSyhEIl0S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2qpenHVSVJATRxKaqO0OHanv8aejKv3c6hrgdn9oZMbTVL1XZgb4gBydqmNLoap/thB0IeLZ8PYt89uFoU9Hg==" saltValue="4/jcv225tJRnrNI2Xdqp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0</v>
      </c>
      <c r="K10" s="180">
        <v>3</v>
      </c>
      <c r="L10" s="180">
        <v>11</v>
      </c>
      <c r="M10" s="180">
        <v>3</v>
      </c>
      <c r="N10" s="180">
        <v>0</v>
      </c>
      <c r="O10" s="180">
        <v>0</v>
      </c>
      <c r="P10" s="180">
        <v>0</v>
      </c>
      <c r="Q10" s="180">
        <v>0</v>
      </c>
      <c r="R10" s="180">
        <v>6</v>
      </c>
      <c r="S10" s="180">
        <v>58</v>
      </c>
      <c r="T10" s="180">
        <v>0</v>
      </c>
      <c r="U10" s="180">
        <v>4</v>
      </c>
      <c r="V10" s="180">
        <v>54</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58</v>
      </c>
      <c r="AZ10" s="129">
        <f t="shared" si="0"/>
        <v>0</v>
      </c>
      <c r="BA10" s="129">
        <f t="shared" si="0"/>
        <v>4</v>
      </c>
      <c r="BB10" s="129">
        <f t="shared" si="0"/>
        <v>54</v>
      </c>
      <c r="BC10" s="125">
        <f t="shared" si="0"/>
        <v>3</v>
      </c>
      <c r="BD10" s="126" t="str">
        <f>IF(ISNUMBER(BA10/AZ10),BA10/AZ10," - ")</f>
        <v xml:space="preserve"> - </v>
      </c>
      <c r="BE10" s="127">
        <f>IF(ISNUMBER(BB10/BA10),BB10/BA10, " - ")</f>
        <v>13.5</v>
      </c>
      <c r="BF10" s="127">
        <f>IF(ISNUMBER(BC10/BA10),BC10/BA10, " - ")</f>
        <v>0.75</v>
      </c>
      <c r="BG10" s="195">
        <f>IF(ISNUMBER((AY10+AZ10)/BA10),(AY10+AZ10)/BA10," - ")</f>
        <v>14.5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4079</v>
      </c>
      <c r="J12" s="182">
        <v>559</v>
      </c>
      <c r="K12" s="182">
        <v>805</v>
      </c>
      <c r="L12" s="182">
        <v>4209</v>
      </c>
      <c r="M12" s="182">
        <v>253</v>
      </c>
      <c r="N12" s="182">
        <v>316</v>
      </c>
      <c r="O12" s="180">
        <v>312</v>
      </c>
      <c r="P12" s="182">
        <v>336</v>
      </c>
      <c r="Q12" s="182">
        <v>90</v>
      </c>
      <c r="R12" s="182">
        <v>6058</v>
      </c>
      <c r="S12" s="182">
        <v>3480</v>
      </c>
      <c r="T12" s="182">
        <v>1005</v>
      </c>
      <c r="U12" s="182">
        <v>820</v>
      </c>
      <c r="V12" s="182">
        <v>3651</v>
      </c>
      <c r="W12" s="182">
        <v>176</v>
      </c>
      <c r="X12" s="188">
        <v>350</v>
      </c>
      <c r="Y12" s="190">
        <v>320</v>
      </c>
      <c r="Z12" s="180">
        <v>65</v>
      </c>
      <c r="AA12" s="180">
        <v>42</v>
      </c>
      <c r="AB12" s="180">
        <v>343</v>
      </c>
      <c r="AC12" s="182">
        <v>0</v>
      </c>
      <c r="AD12" s="182">
        <v>0</v>
      </c>
      <c r="AE12" s="182">
        <v>0</v>
      </c>
      <c r="AF12" s="188">
        <v>0</v>
      </c>
      <c r="AG12" s="201">
        <v>213</v>
      </c>
      <c r="AH12" s="182">
        <v>62</v>
      </c>
      <c r="AI12" s="182">
        <v>59</v>
      </c>
      <c r="AJ12" s="202">
        <v>216</v>
      </c>
      <c r="AK12" s="181">
        <v>0</v>
      </c>
      <c r="AL12" s="182">
        <v>0</v>
      </c>
      <c r="AM12" s="182">
        <v>0</v>
      </c>
      <c r="AN12" s="188">
        <v>0</v>
      </c>
      <c r="AO12" s="258">
        <v>4</v>
      </c>
      <c r="AP12" s="154">
        <v>4</v>
      </c>
      <c r="AQ12" s="154">
        <v>4</v>
      </c>
      <c r="AR12" s="153">
        <v>4</v>
      </c>
      <c r="AS12" s="339" t="s">
        <v>794</v>
      </c>
      <c r="AT12" s="202"/>
      <c r="AU12" s="201"/>
      <c r="AV12" s="202"/>
      <c r="AW12" s="201"/>
      <c r="AX12" s="202"/>
      <c r="AY12" s="126">
        <f t="shared" si="1"/>
        <v>3693</v>
      </c>
      <c r="AZ12" s="127">
        <f t="shared" si="1"/>
        <v>1067</v>
      </c>
      <c r="BA12" s="127">
        <f t="shared" si="1"/>
        <v>879</v>
      </c>
      <c r="BB12" s="127">
        <f t="shared" si="1"/>
        <v>3867</v>
      </c>
      <c r="BC12" s="125">
        <f>IF(ISNUMBER(X12),X12," - ")</f>
        <v>350</v>
      </c>
      <c r="BD12" s="126">
        <f t="shared" si="2"/>
        <v>0.82380506091846295</v>
      </c>
      <c r="BE12" s="127">
        <f t="shared" si="3"/>
        <v>4.3993174061433447</v>
      </c>
      <c r="BF12" s="127">
        <f t="shared" si="4"/>
        <v>0.3981797497155859</v>
      </c>
      <c r="BG12" s="195">
        <f t="shared" si="5"/>
        <v>5.4152445961319682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4093</v>
      </c>
      <c r="J13" s="183">
        <f t="shared" si="6"/>
        <v>559</v>
      </c>
      <c r="K13" s="183">
        <f t="shared" si="6"/>
        <v>808</v>
      </c>
      <c r="L13" s="183">
        <f t="shared" si="6"/>
        <v>4220</v>
      </c>
      <c r="M13" s="183">
        <f t="shared" si="6"/>
        <v>256</v>
      </c>
      <c r="N13" s="183">
        <f t="shared" si="6"/>
        <v>316</v>
      </c>
      <c r="O13" s="183">
        <f t="shared" si="6"/>
        <v>312</v>
      </c>
      <c r="P13" s="183">
        <f t="shared" si="6"/>
        <v>336</v>
      </c>
      <c r="Q13" s="183">
        <f t="shared" si="6"/>
        <v>90</v>
      </c>
      <c r="R13" s="183">
        <f t="shared" si="6"/>
        <v>6064</v>
      </c>
      <c r="S13" s="183">
        <f t="shared" si="6"/>
        <v>3538</v>
      </c>
      <c r="T13" s="183">
        <f t="shared" si="6"/>
        <v>1005</v>
      </c>
      <c r="U13" s="183">
        <f t="shared" si="6"/>
        <v>824</v>
      </c>
      <c r="V13" s="183">
        <f t="shared" si="6"/>
        <v>3705</v>
      </c>
      <c r="W13" s="183">
        <f t="shared" si="6"/>
        <v>179</v>
      </c>
      <c r="X13" s="183">
        <f t="shared" si="6"/>
        <v>352</v>
      </c>
      <c r="Y13" s="183">
        <f t="shared" si="6"/>
        <v>320</v>
      </c>
      <c r="Z13" s="183">
        <f t="shared" si="6"/>
        <v>65</v>
      </c>
      <c r="AA13" s="183">
        <f t="shared" si="6"/>
        <v>42</v>
      </c>
      <c r="AB13" s="183">
        <f t="shared" si="6"/>
        <v>343</v>
      </c>
      <c r="AC13" s="183">
        <f t="shared" si="6"/>
        <v>0</v>
      </c>
      <c r="AD13" s="183">
        <f t="shared" si="6"/>
        <v>0</v>
      </c>
      <c r="AE13" s="183">
        <f t="shared" si="6"/>
        <v>0</v>
      </c>
      <c r="AF13" s="183">
        <f>SUBTOTAL(9,AF9:AF12)</f>
        <v>0</v>
      </c>
      <c r="AG13" s="183">
        <f t="shared" ref="AG13:AT13" si="7">SUBTOTAL(9,AG8:AG12)</f>
        <v>213</v>
      </c>
      <c r="AH13" s="183">
        <f t="shared" si="7"/>
        <v>62</v>
      </c>
      <c r="AI13" s="183">
        <f t="shared" si="7"/>
        <v>59</v>
      </c>
      <c r="AJ13" s="183">
        <f t="shared" si="7"/>
        <v>216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3751</v>
      </c>
      <c r="AZ13" s="183">
        <f>SUBTOTAL(9,AZ8:AZ12)</f>
        <v>1067</v>
      </c>
      <c r="BA13" s="183">
        <f>SUBTOTAL(9,BA8:BA12)</f>
        <v>883</v>
      </c>
      <c r="BB13" s="183">
        <f>SUBTOTAL(9,BB8:BB12)</f>
        <v>3921</v>
      </c>
      <c r="BC13" s="183">
        <f>SUBTOTAL(9,BC8:BC12)</f>
        <v>353</v>
      </c>
      <c r="BD13" s="204">
        <f>IF(ISNUMBER(BA13/AZ13),BA13/AZ13," - ")</f>
        <v>0.82755388940955954</v>
      </c>
      <c r="BE13" s="205">
        <f>IF(ISNUMBER(BB13/BA13),BB13/BA13, " - ")</f>
        <v>4.4405436013590034</v>
      </c>
      <c r="BF13" s="205">
        <f>IF(ISNUMBER(BC13/BA13),BC13/BA13, " - ")</f>
        <v>0.39977349943374857</v>
      </c>
      <c r="BG13" s="206">
        <f>IF(ISNUMBER((AY13+AZ13)/BA13),(AY13+AZ13)/BA13," - ")</f>
        <v>5.4563986409966025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1930</v>
      </c>
      <c r="J16" s="182">
        <v>871</v>
      </c>
      <c r="K16" s="182">
        <v>661</v>
      </c>
      <c r="L16" s="182">
        <v>2145</v>
      </c>
      <c r="M16" s="182">
        <v>69</v>
      </c>
      <c r="N16" s="182">
        <v>414</v>
      </c>
      <c r="O16" s="180">
        <v>0</v>
      </c>
      <c r="P16" s="182">
        <v>0</v>
      </c>
      <c r="Q16" s="182">
        <v>0</v>
      </c>
      <c r="R16" s="182">
        <v>353</v>
      </c>
      <c r="S16" s="182">
        <v>1793</v>
      </c>
      <c r="T16" s="182">
        <v>982</v>
      </c>
      <c r="U16" s="182">
        <v>868</v>
      </c>
      <c r="V16" s="182">
        <v>1918</v>
      </c>
      <c r="W16" s="182">
        <v>109</v>
      </c>
      <c r="X16" s="188">
        <v>486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1793</v>
      </c>
      <c r="AZ16" s="127">
        <f t="shared" si="9"/>
        <v>982</v>
      </c>
      <c r="BA16" s="127">
        <f t="shared" si="9"/>
        <v>868</v>
      </c>
      <c r="BB16" s="127">
        <f t="shared" si="9"/>
        <v>1918</v>
      </c>
      <c r="BC16" s="125">
        <f>IF(ISNUMBER(W16),W16," - ")</f>
        <v>109</v>
      </c>
      <c r="BD16" s="126">
        <f t="shared" ref="BD16" si="11">IF(ISNUMBER(BA16/AZ16),BA16/AZ16," - ")</f>
        <v>0.88391038696537683</v>
      </c>
      <c r="BE16" s="127">
        <f t="shared" ref="BE16" si="12">IF(ISNUMBER(BB16/BA16),BB16/BA16, " - ")</f>
        <v>2.2096774193548385</v>
      </c>
      <c r="BF16" s="127">
        <f t="shared" ref="BF16" si="13">IF(ISNUMBER(BC16/BA16),BC16/BA16, " - ")</f>
        <v>0.12557603686635946</v>
      </c>
      <c r="BG16" s="195">
        <f t="shared" si="10"/>
        <v>3.197004608294931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126</v>
      </c>
      <c r="J17" s="182">
        <v>0</v>
      </c>
      <c r="K17" s="182">
        <v>23</v>
      </c>
      <c r="L17" s="182">
        <v>103</v>
      </c>
      <c r="M17" s="182">
        <v>0</v>
      </c>
      <c r="N17" s="182">
        <v>13</v>
      </c>
      <c r="O17" s="182">
        <v>0</v>
      </c>
      <c r="P17" s="182">
        <v>0</v>
      </c>
      <c r="Q17" s="182">
        <v>4</v>
      </c>
      <c r="R17" s="182">
        <v>0</v>
      </c>
      <c r="S17" s="182">
        <v>188</v>
      </c>
      <c r="T17" s="182">
        <v>2</v>
      </c>
      <c r="U17" s="182">
        <v>44</v>
      </c>
      <c r="V17" s="182">
        <v>189</v>
      </c>
      <c r="W17" s="182">
        <v>0</v>
      </c>
      <c r="X17" s="188">
        <v>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188</v>
      </c>
      <c r="AZ17" s="129">
        <f t="shared" si="14"/>
        <v>2</v>
      </c>
      <c r="BA17" s="129">
        <f t="shared" si="14"/>
        <v>44</v>
      </c>
      <c r="BB17" s="129">
        <f t="shared" si="14"/>
        <v>189</v>
      </c>
      <c r="BC17" s="125">
        <f>IF(ISNUMBER(W17),W17," - ")</f>
        <v>0</v>
      </c>
      <c r="BD17" s="126">
        <f>IF(ISNUMBER(BA17/AZ17),BA17/AZ17," - ")</f>
        <v>22</v>
      </c>
      <c r="BE17" s="127">
        <f>IF(ISNUMBER(BB17/BA17),BB17/BA17, " - ")</f>
        <v>4.2954545454545459</v>
      </c>
      <c r="BF17" s="127">
        <f>IF(ISNUMBER(BC17/BA17),BC17/BA17, " - ")</f>
        <v>0</v>
      </c>
      <c r="BG17" s="195">
        <f>IF(ISNUMBER((AY17+AZ17)/BA17),(AY17+AZ17)/BA17," - ")</f>
        <v>4.3181818181818183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2056</v>
      </c>
      <c r="J18" s="183">
        <f t="shared" si="15"/>
        <v>871</v>
      </c>
      <c r="K18" s="183">
        <f t="shared" si="15"/>
        <v>684</v>
      </c>
      <c r="L18" s="183">
        <f t="shared" si="15"/>
        <v>2248</v>
      </c>
      <c r="M18" s="183">
        <f t="shared" si="15"/>
        <v>69</v>
      </c>
      <c r="N18" s="183">
        <f t="shared" si="15"/>
        <v>427</v>
      </c>
      <c r="O18" s="183">
        <f t="shared" si="15"/>
        <v>0</v>
      </c>
      <c r="P18" s="183">
        <f t="shared" si="15"/>
        <v>0</v>
      </c>
      <c r="Q18" s="183">
        <f t="shared" si="15"/>
        <v>4</v>
      </c>
      <c r="R18" s="183">
        <f t="shared" si="15"/>
        <v>353</v>
      </c>
      <c r="S18" s="183">
        <f t="shared" si="15"/>
        <v>1981</v>
      </c>
      <c r="T18" s="183">
        <f t="shared" si="15"/>
        <v>984</v>
      </c>
      <c r="U18" s="183">
        <f t="shared" si="15"/>
        <v>912</v>
      </c>
      <c r="V18" s="183">
        <f t="shared" si="15"/>
        <v>2107</v>
      </c>
      <c r="W18" s="183">
        <f t="shared" si="15"/>
        <v>109</v>
      </c>
      <c r="X18" s="183">
        <f t="shared" si="15"/>
        <v>510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1981</v>
      </c>
      <c r="AZ18" s="183">
        <f>SUBTOTAL(9,AZ14:AZ17)</f>
        <v>984</v>
      </c>
      <c r="BA18" s="183">
        <f>SUBTOTAL(9,BA14:BA17)</f>
        <v>912</v>
      </c>
      <c r="BB18" s="183">
        <f>SUBTOTAL(9,BB14:BB17)</f>
        <v>2107</v>
      </c>
      <c r="BC18" s="183">
        <f>SUBTOTAL(9,BC14:BC17)</f>
        <v>109</v>
      </c>
      <c r="BD18" s="204">
        <f>IF(ISNUMBER(BA18/AZ18),BA18/AZ18," - ")</f>
        <v>0.92682926829268297</v>
      </c>
      <c r="BE18" s="205">
        <f>IF(ISNUMBER(BB18/BA18),BB18/BA18, " - ")</f>
        <v>2.3103070175438596</v>
      </c>
      <c r="BF18" s="205">
        <f>IF(ISNUMBER(BC18/BA18),BC18/BA18, " - ")</f>
        <v>0.11951754385964912</v>
      </c>
      <c r="BG18" s="206">
        <f>IF(ISNUMBER((AY18+AZ18)/BA18),(AY18+AZ18)/BA18," - ")</f>
        <v>3.2510964912280702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6149</v>
      </c>
      <c r="J19" s="134">
        <f t="shared" si="18"/>
        <v>1430</v>
      </c>
      <c r="K19" s="134">
        <f t="shared" si="18"/>
        <v>1492</v>
      </c>
      <c r="L19" s="134">
        <f t="shared" si="18"/>
        <v>6468</v>
      </c>
      <c r="M19" s="134">
        <f t="shared" si="18"/>
        <v>325</v>
      </c>
      <c r="N19" s="134">
        <f t="shared" si="18"/>
        <v>743</v>
      </c>
      <c r="O19" s="134">
        <f t="shared" si="18"/>
        <v>312</v>
      </c>
      <c r="P19" s="134">
        <f t="shared" si="18"/>
        <v>336</v>
      </c>
      <c r="Q19" s="134">
        <f t="shared" si="18"/>
        <v>94</v>
      </c>
      <c r="R19" s="134">
        <f t="shared" si="18"/>
        <v>6417</v>
      </c>
      <c r="S19" s="134">
        <f t="shared" si="18"/>
        <v>5519</v>
      </c>
      <c r="T19" s="134">
        <f t="shared" si="18"/>
        <v>1989</v>
      </c>
      <c r="U19" s="134">
        <f t="shared" si="18"/>
        <v>1736</v>
      </c>
      <c r="V19" s="134">
        <f t="shared" si="18"/>
        <v>5812</v>
      </c>
      <c r="W19" s="134">
        <f t="shared" si="18"/>
        <v>288</v>
      </c>
      <c r="X19" s="134">
        <f t="shared" si="18"/>
        <v>862</v>
      </c>
      <c r="Y19" s="134">
        <f t="shared" si="18"/>
        <v>320</v>
      </c>
      <c r="Z19" s="134">
        <f t="shared" si="18"/>
        <v>65</v>
      </c>
      <c r="AA19" s="134">
        <f t="shared" si="18"/>
        <v>42</v>
      </c>
      <c r="AB19" s="134">
        <f t="shared" si="18"/>
        <v>343</v>
      </c>
      <c r="AC19" s="134">
        <f t="shared" si="18"/>
        <v>0</v>
      </c>
      <c r="AD19" s="134">
        <f t="shared" si="18"/>
        <v>0</v>
      </c>
      <c r="AE19" s="134">
        <f t="shared" si="18"/>
        <v>0</v>
      </c>
      <c r="AF19" s="134">
        <f t="shared" si="18"/>
        <v>0</v>
      </c>
      <c r="AG19" s="134">
        <f t="shared" si="18"/>
        <v>213</v>
      </c>
      <c r="AH19" s="134">
        <f t="shared" si="18"/>
        <v>62</v>
      </c>
      <c r="AI19" s="134">
        <f t="shared" si="18"/>
        <v>59</v>
      </c>
      <c r="AJ19" s="134">
        <f t="shared" si="18"/>
        <v>216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5732</v>
      </c>
      <c r="AZ19" s="134">
        <f>SUBTOTAL(9,AZ9:AZ18)</f>
        <v>2051</v>
      </c>
      <c r="BA19" s="134">
        <f>SUBTOTAL(9,BA9:BA18)</f>
        <v>1795</v>
      </c>
      <c r="BB19" s="134">
        <f>SUBTOTAL(9,BB9:BB18)</f>
        <v>6028</v>
      </c>
      <c r="BC19" s="135">
        <f>SUBTOTAL(9,BC9:BC18)</f>
        <v>462</v>
      </c>
      <c r="BD19" s="212">
        <f>IF(ISNUMBER(BA19/AZ19),BA19/AZ19," - ")</f>
        <v>0.87518283764017557</v>
      </c>
      <c r="BE19" s="209">
        <f>IF(ISNUMBER(BB19/BA19),BB19/BA19, " - ")</f>
        <v>3.3582172701949862</v>
      </c>
      <c r="BF19" s="209">
        <f>IF(ISNUMBER(BC19/BA19),BC19/BA19, " - ")</f>
        <v>0.25738161559888578</v>
      </c>
      <c r="BG19" s="135">
        <f>IF(ISNUMBER((AY19+AZ19)/BA19),(AY19+AZ19)/BA19," - ")</f>
        <v>4.3359331476323124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CDp0lG3lPQmCS1g71QP8HesQPHTdiwyB012G+IVcx+a7hOLdsRFlIvjmlDoqmMXzNLdBjwiMyRmWjSeW/fURg==" saltValue="tF1xd3JLyOXGlaVUV2zC8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YpLB2jvNwr+V9ZtIoU5cML9Vlv9i/FWNwyzyGikO99S7IHJs17xqxyzgy6LS5qC6cpDN+rruE0SyFvx4kdZuw==" saltValue="G6/VSZs6DPGOHHDRMxbuc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SANTA 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11</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7.3333333333333321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v>
      </c>
      <c r="O12" s="333"/>
      <c r="P12" s="333"/>
      <c r="Q12" s="225">
        <f>IF(ISNUMBER(Datos!P12),Datos!P12,0)</f>
        <v>336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343</v>
      </c>
      <c r="AI12" s="333" t="str">
        <f>IF(ISNUMBER(Datos!CD12),Datos!CD12,"-")</f>
        <v>-</v>
      </c>
      <c r="AJ12" s="333" t="str">
        <f>IF(ISNUMBER(Datos!EN12),Datos!EN12," - ")</f>
        <v xml:space="preserve"> - </v>
      </c>
      <c r="AK12" s="333"/>
      <c r="AL12" s="478"/>
      <c r="AM12" s="334">
        <f>IF(ISNUMBER(Datos!R12),Datos!R12," - ")</f>
        <v>6058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253</v>
      </c>
      <c r="BD12" s="228">
        <f>IF(ISNUMBER(Datos!N12),Datos!N12," - ")</f>
        <v>316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1.3573717948717949</v>
      </c>
      <c r="BH12" s="259">
        <f>IF(ISNUMBER(((IF(J_V="SI",Datos!L12/Datos!K12,(Datos!L12+Datos!AB12)/(Datos!K12+Datos!AA12)))*11)/factor_trimestre),((IF(J_V="SI",Datos!L12/Datos!K12,(Datos!L12+Datos!AB12)/(Datos!K12+Datos!AA12)))*11)/factor_trimestre," - ")</f>
        <v>10.748524203069657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4.2326221610461116E-2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65</v>
      </c>
      <c r="O13" s="899">
        <f t="shared" si="0"/>
        <v>0</v>
      </c>
      <c r="P13" s="899">
        <f t="shared" si="0"/>
        <v>0</v>
      </c>
      <c r="Q13" s="898">
        <f t="shared" si="0"/>
        <v>336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90</v>
      </c>
      <c r="AD13" s="898">
        <f t="shared" si="1"/>
        <v>0</v>
      </c>
      <c r="AE13" s="898">
        <f t="shared" si="1"/>
        <v>0</v>
      </c>
      <c r="AF13" s="898">
        <f t="shared" si="1"/>
        <v>11</v>
      </c>
      <c r="AG13" s="898">
        <f t="shared" si="1"/>
        <v>0</v>
      </c>
      <c r="AH13" s="898">
        <f t="shared" si="1"/>
        <v>343</v>
      </c>
      <c r="AI13" s="898">
        <f t="shared" si="1"/>
        <v>0</v>
      </c>
      <c r="AJ13" s="898">
        <f t="shared" si="1"/>
        <v>0</v>
      </c>
      <c r="AK13" s="898">
        <f t="shared" si="1"/>
        <v>0</v>
      </c>
      <c r="AL13" s="898">
        <f t="shared" si="1"/>
        <v>0</v>
      </c>
      <c r="AM13" s="898">
        <f t="shared" si="1"/>
        <v>6064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256</v>
      </c>
      <c r="BD13" s="898">
        <f t="shared" si="1"/>
        <v>316</v>
      </c>
      <c r="BE13" s="898">
        <f t="shared" si="1"/>
        <v>0</v>
      </c>
      <c r="BF13" s="898">
        <f t="shared" si="1"/>
        <v>0</v>
      </c>
      <c r="BG13" s="898">
        <f>IF(ISNUMBER(Datos!K13/Datos!J13),Datos!K13/Datos!J13," - ")</f>
        <v>1.4454382826475849</v>
      </c>
      <c r="BH13" s="902">
        <f>IF(ISNUMBER(((Datos!L13/Datos!K13)*11)/factor_trimestre),((Datos!L13/Datos!K13)*11)/factor_trimestre," - ")</f>
        <v>10.445544554455445</v>
      </c>
      <c r="BI13" s="898">
        <f>IF(ISNUMBER('Resol  Asuntos'!D13/NºAsuntos!G13),'Resol  Asuntos'!D13/NºAsuntos!G13," - ")</f>
        <v>0.30117647058823527</v>
      </c>
      <c r="BJ13" s="898" t="str">
        <f>IF(ISNUMBER(Datos!CI13/Datos!CJ13),Datos!CI13/Datos!CJ13," - ")</f>
        <v xml:space="preserve"> - </v>
      </c>
      <c r="BK13" s="898">
        <f>SUBTOTAL(9,BK8:BK12)</f>
        <v>0</v>
      </c>
      <c r="BL13" s="898">
        <f>IF(ISNUMBER((I13-AB13+L13)/(F13)),(I13-AB13+L13)/(F13)," - ")</f>
        <v>-0.21428571428571427</v>
      </c>
      <c r="BM13" s="903">
        <f>SUBTOTAL(9,BM9:BM12)</f>
        <v>4.2326221610461116E-2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1935</v>
      </c>
      <c r="G16" s="597">
        <f>IF(ISNUMBER(IF(D_I="SI",Datos!I16,Datos!I16+Datos!AC16)),IF(D_I="SI",Datos!I16,Datos!I16+Datos!AC16)," - ")</f>
        <v>1930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661</v>
      </c>
      <c r="AC16" s="225">
        <f>IF(ISNUMBER(Datos!Q16),Datos!Q16," - ")</f>
        <v>0</v>
      </c>
      <c r="AD16" s="333"/>
      <c r="AE16" s="483"/>
      <c r="AF16" s="595">
        <f>IF(ISNUMBER(IF(D_I="SI",Datos!L16,Datos!L16+Datos!AF16)),IF(D_I="SI",Datos!L16,Datos!L16+Datos!AF16)," - ")</f>
        <v>2145</v>
      </c>
      <c r="AG16" s="333"/>
      <c r="AH16" s="333"/>
      <c r="AI16" s="333"/>
      <c r="AJ16" s="333"/>
      <c r="AK16" s="333"/>
      <c r="AL16" s="478"/>
      <c r="AM16" s="334">
        <f>IF(ISNUMBER(Datos!R16),Datos!R16," - ")</f>
        <v>353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69</v>
      </c>
      <c r="BD16" s="228">
        <f>IF(ISNUMBER(Datos!N16),Datos!N16," - ")</f>
        <v>414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0.75889781859931116</v>
      </c>
      <c r="BH16" s="259">
        <f>IF(ISNUMBER(((IF(D_I="SI",Datos!L16/Datos!K16,(Datos!L16+Datos!AF16)/(Datos!K16+Datos!AE16)))*11)/factor_trimestre),((IF(D_I="SI",Datos!L16/Datos!K16,(Datos!L16+Datos!AF16)/(Datos!K16+Datos!AE16)))*11)/factor_trimestre," - ")</f>
        <v>6.4901664145234497</v>
      </c>
      <c r="BI16" s="242">
        <f>IF(ISNUMBER('Resol  Asuntos'!D16/NºAsuntos!G16),'Resol  Asuntos'!D16/NºAsuntos!G16," - ")</f>
        <v>0.1043872919818457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4</v>
      </c>
      <c r="AD17" s="333"/>
      <c r="AE17" s="483"/>
      <c r="AF17" s="331">
        <f>IF(ISNUMBER(Datos!L17),Datos!L17,"-")</f>
        <v>103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13</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8.9565217391304355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1935</v>
      </c>
      <c r="G18" s="897">
        <f>SUBTOTAL(9,G15:G17)</f>
        <v>2056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684</v>
      </c>
      <c r="AC18" s="898">
        <f t="shared" si="4"/>
        <v>4</v>
      </c>
      <c r="AD18" s="898">
        <f t="shared" si="4"/>
        <v>0</v>
      </c>
      <c r="AE18" s="898">
        <f t="shared" si="4"/>
        <v>0</v>
      </c>
      <c r="AF18" s="898">
        <f t="shared" si="4"/>
        <v>2248</v>
      </c>
      <c r="AG18" s="898">
        <f t="shared" si="4"/>
        <v>0</v>
      </c>
      <c r="AH18" s="898">
        <f t="shared" si="4"/>
        <v>0</v>
      </c>
      <c r="AI18" s="898">
        <f t="shared" si="4"/>
        <v>0</v>
      </c>
      <c r="AJ18" s="898">
        <f t="shared" si="4"/>
        <v>0</v>
      </c>
      <c r="AK18" s="898">
        <f t="shared" si="4"/>
        <v>0</v>
      </c>
      <c r="AL18" s="898">
        <f t="shared" si="4"/>
        <v>0</v>
      </c>
      <c r="AM18" s="898">
        <f t="shared" si="4"/>
        <v>353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69</v>
      </c>
      <c r="BD18" s="898">
        <f t="shared" si="4"/>
        <v>427</v>
      </c>
      <c r="BE18" s="898">
        <f t="shared" si="4"/>
        <v>0</v>
      </c>
      <c r="BF18" s="898">
        <f t="shared" si="4"/>
        <v>0</v>
      </c>
      <c r="BG18" s="898">
        <f>IF(ISNUMBER(Datos!K18/Datos!J18),Datos!K18/Datos!J18," - ")</f>
        <v>0.78530424799081511</v>
      </c>
      <c r="BH18" s="902">
        <f>IF(ISNUMBER(((Datos!L18/Datos!K18)*11)/factor_trimestre),((Datos!L18/Datos!K18)*11)/factor_trimestre," - ")</f>
        <v>6.5730994152046796</v>
      </c>
      <c r="BI18" s="898">
        <f>SUBTOTAL(9,BI15:BI17)</f>
        <v>0.1043872919818457</v>
      </c>
      <c r="BJ18" s="898">
        <f>SUBTOTAL(9,BJ15:BJ17)</f>
        <v>0</v>
      </c>
      <c r="BK18" s="898">
        <f>SUBTOTAL(9,BK15:BK17)</f>
        <v>0</v>
      </c>
      <c r="BL18" s="898">
        <f>IF(ISNUMBER((I18-AB18+L18)/(F18)),(I18-AB18+L18)/(F18)," - ")</f>
        <v>-0.35348837209302325</v>
      </c>
      <c r="BM18" s="904">
        <f>IF(ISNUMBER((Datos!P18-Datos!Q18)/(Datos!R18-Datos!P18+Datos!Q18)),(Datos!P18-Datos!Q18)/(Datos!R18-Datos!P18+Datos!Q18)," - ")</f>
        <v>-1.1204481792717087E-2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1949</v>
      </c>
      <c r="G19" s="819">
        <f t="shared" si="6"/>
        <v>2070</v>
      </c>
      <c r="H19" s="821">
        <f t="shared" si="6"/>
        <v>0</v>
      </c>
      <c r="I19" s="819">
        <f t="shared" si="6"/>
        <v>0</v>
      </c>
      <c r="J19" s="821">
        <f t="shared" si="6"/>
        <v>0</v>
      </c>
      <c r="K19" s="821">
        <f t="shared" si="6"/>
        <v>0</v>
      </c>
      <c r="L19" s="880">
        <f t="shared" si="6"/>
        <v>0</v>
      </c>
      <c r="M19" s="880">
        <f t="shared" si="6"/>
        <v>0</v>
      </c>
      <c r="N19" s="880">
        <f t="shared" si="6"/>
        <v>65</v>
      </c>
      <c r="O19" s="880">
        <f t="shared" si="6"/>
        <v>0</v>
      </c>
      <c r="P19" s="880">
        <f t="shared" si="6"/>
        <v>0</v>
      </c>
      <c r="Q19" s="821">
        <f t="shared" si="6"/>
        <v>336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687</v>
      </c>
      <c r="AC19" s="820">
        <f t="shared" si="7"/>
        <v>94</v>
      </c>
      <c r="AD19" s="820">
        <f t="shared" si="7"/>
        <v>0</v>
      </c>
      <c r="AE19" s="820">
        <f t="shared" si="7"/>
        <v>0</v>
      </c>
      <c r="AF19" s="827">
        <f t="shared" si="7"/>
        <v>2259</v>
      </c>
      <c r="AG19" s="827">
        <f t="shared" si="7"/>
        <v>0</v>
      </c>
      <c r="AH19" s="827">
        <f t="shared" si="7"/>
        <v>343</v>
      </c>
      <c r="AI19" s="827">
        <f t="shared" si="7"/>
        <v>0</v>
      </c>
      <c r="AJ19" s="820">
        <f t="shared" si="7"/>
        <v>0</v>
      </c>
      <c r="AK19" s="827">
        <f t="shared" si="7"/>
        <v>0</v>
      </c>
      <c r="AL19" s="827">
        <f t="shared" si="7"/>
        <v>0</v>
      </c>
      <c r="AM19" s="827">
        <f t="shared" si="7"/>
        <v>6417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325</v>
      </c>
      <c r="BD19" s="819">
        <f t="shared" si="7"/>
        <v>743</v>
      </c>
      <c r="BE19" s="819">
        <f t="shared" si="7"/>
        <v>0</v>
      </c>
      <c r="BF19" s="829">
        <f t="shared" si="7"/>
        <v>0</v>
      </c>
      <c r="BG19" s="914">
        <f>IF(ISNUMBER(Datos!K19/Datos!J19),Datos!K19/Datos!J19," - ")</f>
        <v>1.0433566433566435</v>
      </c>
      <c r="BH19" s="914">
        <f>IF(ISNUMBER(((Datos!L19/Datos!K19)*11)/factor_trimestre),((Datos!L19/Datos!K19)*11)/factor_trimestre," - ")</f>
        <v>8.6702412868632699</v>
      </c>
      <c r="BI19" s="812">
        <f>IF(ISNUMBER(Datos!J19/Datos!I19),Datos!J19/Datos!I19," - ")</f>
        <v>0.23255813953488372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-0.35248845561826575</v>
      </c>
      <c r="BM19" s="888">
        <f>IF(ISNUMBER((Datos!P19-Datos!Q19+R19)/(Datos!R19-Datos!P19+Datos!Q19-R19)),(Datos!P19-Datos!Q19+R19)/(Datos!R19-Datos!P19+Datos!Q19-R19)," - ")</f>
        <v>3.9190283400809718E-2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1109.0898671132711</v>
      </c>
      <c r="G21" s="551">
        <f>IF(ISNUMBER(STDEV(G8:G18)),STDEV(G8:G18),"-")</f>
        <v>1065.4088417128892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363.23160655427552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117.18304769319948</v>
      </c>
      <c r="BD21" s="550"/>
      <c r="BE21" s="550">
        <f>IF(ISNUMBER(STDEV(BE8:BE18)),STDEV(BE8:BE18),"-")</f>
        <v>0</v>
      </c>
      <c r="BF21" s="555">
        <f>IF(ISNUMBER(STDEV(BF8:BF18)),STDEV(BF8:BF18),"-")</f>
        <v>0</v>
      </c>
      <c r="BG21" s="774">
        <f>IF(ISNUMBER(STDEV(BG8:BG18)),STDEV(BG8:BG18),"-")</f>
        <v>0.36526247831069342</v>
      </c>
      <c r="BH21" s="775">
        <f>IF(ISNUMBER(STDEV(BH8:BH18)),STDEV(BH8:BH18),"-")</f>
        <v>1.9041392781089996</v>
      </c>
      <c r="BI21" s="248">
        <f>IF(ISNUMBER(STDEV(BI8:BI18)),STDEV(BI8:BI18),"-")</f>
        <v>0.12581489098531068</v>
      </c>
      <c r="BJ21" s="229" t="str">
        <f>IF(ISNUMBER(BL21/BM21),BL21/BM21," - ")</f>
        <v xml:space="preserve"> - </v>
      </c>
      <c r="BK21" s="574"/>
      <c r="BL21" s="558">
        <f>IF(ISNUMBER(STDEV(BL8:BL18)),STDEV(BL8:BL18),"-")</f>
        <v>9.8431143294738871E-2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exdFSVRm5owEGHaF7T4RQ4tf5b27/o7TKJDSHhrSfQfDgKLxUbpyIpc7t4cIOb6dChoxpXGzI8Vek4FV8PWO+g==" saltValue="J80itAUF4xRngC1wolzu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SANTA 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11</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7.3333333333333321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90</v>
      </c>
      <c r="AA12" s="331" t="str">
        <f>IF(ISNUMBER(IF(J_V="SI",Datos!L12,Datos!L12+Datos!AB12)-IF(Monitorios="SI",Datos!CD12,0)),
                          IF(J_V="SI",Datos!L12,Datos!L12+Datos!AB12)-IF(Monitorios="SI",Datos!CD12,0),
                          " - ")</f>
        <v xml:space="preserve"> - </v>
      </c>
      <c r="AB12" s="333"/>
      <c r="AC12" s="333"/>
      <c r="AD12" s="483"/>
      <c r="AE12" s="483">
        <f>IF(ISNUMBER(Datos!R12),Datos!R12," - ")</f>
        <v>6058</v>
      </c>
      <c r="AF12" s="228" t="str">
        <f>IF(ISNUMBER(Datos!BV12),Datos!BV12," - ")</f>
        <v xml:space="preserve"> - </v>
      </c>
      <c r="AG12" s="224" t="str">
        <f>IF(ISNUMBER(Datos!DV12),Datos!DV12," - ")</f>
        <v xml:space="preserve"> - </v>
      </c>
      <c r="AH12" s="297"/>
      <c r="AI12" s="226"/>
      <c r="AJ12" s="224">
        <f>IF(ISNUMBER(Datos!M12),Datos!M12," - ")</f>
        <v>253</v>
      </c>
      <c r="AK12" s="228">
        <f>IF(ISNUMBER(Datos!N12),Datos!N12," - ")</f>
        <v>316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10.748524203069657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4.2326221610461116E-2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336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90</v>
      </c>
      <c r="AA13" s="899">
        <f t="shared" si="2"/>
        <v>11</v>
      </c>
      <c r="AB13" s="899">
        <f t="shared" si="2"/>
        <v>0</v>
      </c>
      <c r="AC13" s="899">
        <f t="shared" si="2"/>
        <v>0</v>
      </c>
      <c r="AD13" s="899">
        <f t="shared" si="2"/>
        <v>0</v>
      </c>
      <c r="AE13" s="899">
        <f t="shared" si="2"/>
        <v>6064</v>
      </c>
      <c r="AF13" s="907">
        <f t="shared" si="2"/>
        <v>0</v>
      </c>
      <c r="AG13" s="907">
        <f t="shared" si="2"/>
        <v>0</v>
      </c>
      <c r="AH13" s="907">
        <f t="shared" si="2"/>
        <v>0</v>
      </c>
      <c r="AI13" s="907">
        <f t="shared" si="2"/>
        <v>0</v>
      </c>
      <c r="AJ13" s="907">
        <f t="shared" si="2"/>
        <v>256</v>
      </c>
      <c r="AK13" s="907">
        <f t="shared" si="2"/>
        <v>316</v>
      </c>
      <c r="AL13" s="907">
        <f t="shared" si="2"/>
        <v>0</v>
      </c>
      <c r="AM13" s="907">
        <f t="shared" si="2"/>
        <v>0</v>
      </c>
      <c r="AN13" s="907">
        <f t="shared" si="2"/>
        <v>0</v>
      </c>
      <c r="AO13" s="903">
        <f>IF(ISNUMBER(((NºAsuntos!I13/NºAsuntos!G13)*11)/factor_trimestre),((NºAsuntos!I13/NºAsuntos!G13)*11)/factor_trimestre," - ")</f>
        <v>10.736470588235294</v>
      </c>
      <c r="AP13" s="909" t="str">
        <f>IF(ISNUMBER(Datos!CI13/Datos!CJ13),Datos!CI13/Datos!CJ13," - ")</f>
        <v xml:space="preserve"> - </v>
      </c>
      <c r="AQ13" s="927">
        <f t="shared" ref="AQ13:AV13" si="3">SUBTOTAL(9,AQ9:AQ12)</f>
        <v>0</v>
      </c>
      <c r="AR13" s="927">
        <f t="shared" si="3"/>
        <v>4.2326221610461116E-2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1935</v>
      </c>
      <c r="G16" s="224">
        <f>IF(ISNUMBER(IF(D_I="SI",Datos!I16,Datos!I16+Datos!AC16)),IF(D_I="SI",Datos!I16,Datos!I16+Datos!AC16)," - ")</f>
        <v>1930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661</v>
      </c>
      <c r="Z16" s="618">
        <f>IF(ISNUMBER(Datos!Q16),Datos!Q16," - ")</f>
        <v>0</v>
      </c>
      <c r="AA16" s="331">
        <f>IF(ISNUMBER(IF(D_I="SI",Datos!L16,Datos!L16+Datos!AF16)),IF(D_I="SI",Datos!L16,Datos!L16+Datos!AF16)," - ")</f>
        <v>2145</v>
      </c>
      <c r="AB16" s="333"/>
      <c r="AC16" s="333"/>
      <c r="AD16" s="483"/>
      <c r="AE16" s="483">
        <f>IF(ISNUMBER(Datos!R16),Datos!R16," - ")</f>
        <v>353</v>
      </c>
      <c r="AF16" s="228" t="str">
        <f>IF(ISNUMBER(Datos!BV16),Datos!BV16," - ")</f>
        <v xml:space="preserve"> - </v>
      </c>
      <c r="AG16" s="224"/>
      <c r="AH16" s="297"/>
      <c r="AI16" s="226"/>
      <c r="AJ16" s="224">
        <f>IF(ISNUMBER(Datos!M16),Datos!M16," - ")</f>
        <v>69</v>
      </c>
      <c r="AK16" s="228">
        <f>IF(ISNUMBER(Datos!N16),Datos!N16," - ")</f>
        <v>414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6.4901664145234497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4</v>
      </c>
      <c r="AA17" s="331">
        <f>IF(ISNUMBER(Datos!L17),Datos!L17,"-")</f>
        <v>103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8.9565217391304355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1935</v>
      </c>
      <c r="G18" s="897">
        <f>SUBTOTAL(9,G15:G17)</f>
        <v>2056</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684</v>
      </c>
      <c r="Z18" s="931">
        <f t="shared" si="5"/>
        <v>4</v>
      </c>
      <c r="AA18" s="931">
        <f t="shared" si="5"/>
        <v>2248</v>
      </c>
      <c r="AB18" s="931">
        <f t="shared" si="5"/>
        <v>0</v>
      </c>
      <c r="AC18" s="931">
        <f t="shared" si="5"/>
        <v>0</v>
      </c>
      <c r="AD18" s="931">
        <f t="shared" si="5"/>
        <v>0</v>
      </c>
      <c r="AE18" s="931">
        <f t="shared" si="5"/>
        <v>353</v>
      </c>
      <c r="AF18" s="931">
        <f t="shared" si="5"/>
        <v>0</v>
      </c>
      <c r="AG18" s="931">
        <f t="shared" si="5"/>
        <v>0</v>
      </c>
      <c r="AH18" s="931">
        <f t="shared" si="5"/>
        <v>0</v>
      </c>
      <c r="AI18" s="931">
        <f t="shared" si="5"/>
        <v>0</v>
      </c>
      <c r="AJ18" s="931">
        <f t="shared" si="5"/>
        <v>69</v>
      </c>
      <c r="AK18" s="931">
        <f t="shared" si="5"/>
        <v>427</v>
      </c>
      <c r="AL18" s="931">
        <f t="shared" si="5"/>
        <v>0</v>
      </c>
      <c r="AM18" s="931">
        <f t="shared" si="5"/>
        <v>0</v>
      </c>
      <c r="AN18" s="931">
        <f t="shared" si="5"/>
        <v>0</v>
      </c>
      <c r="AO18" s="933">
        <f>IF(ISNUMBER(((NºAsuntos!I18/NºAsuntos!G18)*11)/factor_trimestre),((NºAsuntos!I18/NºAsuntos!G18)*11)/factor_trimestre," - ")</f>
        <v>6.5730994152046796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1949</v>
      </c>
      <c r="G19" s="819">
        <f t="shared" si="7"/>
        <v>2070</v>
      </c>
      <c r="H19" s="820">
        <f t="shared" si="7"/>
        <v>0</v>
      </c>
      <c r="I19" s="819">
        <f t="shared" si="7"/>
        <v>0</v>
      </c>
      <c r="J19" s="821">
        <f t="shared" si="7"/>
        <v>0</v>
      </c>
      <c r="K19" s="819">
        <f t="shared" si="7"/>
        <v>0</v>
      </c>
      <c r="L19" s="822">
        <f t="shared" si="7"/>
        <v>0</v>
      </c>
      <c r="M19" s="819">
        <f t="shared" si="7"/>
        <v>0</v>
      </c>
      <c r="N19" s="820">
        <f t="shared" si="7"/>
        <v>336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687</v>
      </c>
      <c r="Z19" s="826">
        <f t="shared" si="8"/>
        <v>94</v>
      </c>
      <c r="AA19" s="827">
        <f t="shared" si="8"/>
        <v>2259</v>
      </c>
      <c r="AB19" s="827">
        <f t="shared" si="8"/>
        <v>0</v>
      </c>
      <c r="AC19" s="827">
        <f t="shared" si="8"/>
        <v>0</v>
      </c>
      <c r="AD19" s="828">
        <f t="shared" si="8"/>
        <v>0</v>
      </c>
      <c r="AE19" s="828">
        <f t="shared" si="8"/>
        <v>6417</v>
      </c>
      <c r="AF19" s="829">
        <f t="shared" si="8"/>
        <v>0</v>
      </c>
      <c r="AG19" s="830">
        <f t="shared" si="8"/>
        <v>0</v>
      </c>
      <c r="AH19" s="831">
        <f t="shared" si="8"/>
        <v>0</v>
      </c>
      <c r="AI19" s="829">
        <f t="shared" si="8"/>
        <v>0</v>
      </c>
      <c r="AJ19" s="819">
        <f t="shared" si="8"/>
        <v>325</v>
      </c>
      <c r="AK19" s="819">
        <f t="shared" si="8"/>
        <v>743</v>
      </c>
      <c r="AL19" s="819">
        <f t="shared" si="8"/>
        <v>0</v>
      </c>
      <c r="AM19" s="832">
        <f t="shared" si="8"/>
        <v>0</v>
      </c>
      <c r="AN19" s="822">
        <f>IF(ISNUMBER(Datos!K19/Datos!J19),Datos!K19/Datos!J19," - ")</f>
        <v>1.0433566433566435</v>
      </c>
      <c r="AO19" s="822">
        <f>IF(ISNUMBER(FIND("06",Criterios!A8,1)),(IF(ISNUMBER(((Datos!R19/Datos!Q19)*11)/factor_trimestre),((Datos!R19/Datos!Q19)*11)/factor_trimestre," - ")),(IF(ISNUMBER(((Datos!L19/Datos!K19)*11)/factor_trimestre),((Datos!L19/Datos!K19)*11)/factor_trimestre," - ")))</f>
        <v>8.6702412868632699</v>
      </c>
      <c r="AP19" s="833" t="str">
        <f>IF(ISNUMBER(Datos!CI19/Datos!CJ19),Datos!CI19/Datos!CJ19," - ")</f>
        <v xml:space="preserve"> - </v>
      </c>
      <c r="AQ19" s="833">
        <f>IF(OR(ISNUMBER(FIND("01",Criterios!A8,1)),ISNUMBER(FIND("02",Criterios!A8,1)),ISNUMBER(FIND("03",Criterios!A8,1)),ISNUMBER(FIND("04",Criterios!A8,1))),(J19-Y19+K19)/(F19-K19),(I19-Y19+K19)/(F19-K19))</f>
        <v>-0.35248845561826575</v>
      </c>
      <c r="AR19" s="833">
        <f>IF(ISNUMBER((Datos!P19-Datos!Q19+O19)/(Datos!R19-Datos!P19+Datos!Q19-O19)),(Datos!P19-Datos!Q19+O19)/(Datos!R19-Datos!P19+Datos!Q19-O19)," - ")</f>
        <v>3.9190283400809718E-2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1109.0898671132711</v>
      </c>
      <c r="G21" s="551">
        <f>IF(ISNUMBER(STDEV(G8:G18)),STDEV(G8:G18),"-")</f>
        <v>1065.4088417128892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117.18304769319948</v>
      </c>
      <c r="AK21" s="251"/>
      <c r="AL21" s="251">
        <f>IF(ISNUMBER(STDEV(AL8:AL18)),STDEV(AL8:AL18),"-")</f>
        <v>0</v>
      </c>
      <c r="AM21" s="253">
        <f>IF(ISNUMBER(STDEV(AM8:AM18)),STDEV(AM8:AM18),"-")</f>
        <v>0</v>
      </c>
      <c r="AN21" s="538">
        <f>IF(ISNUMBER(STDEV(AN8:AN18)),STDEV(AN8:AN18),"-")</f>
        <v>0</v>
      </c>
      <c r="AO21" s="539">
        <f>IF(ISNUMBER(STDEV(AO8:AO18)),STDEV(AO8:AO18),"-")</f>
        <v>1.9685118309755374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1RzK9VDU42FSpOtBfQ8WjfzE1tu4l1vE1StkXvH1SYNJxtmcZlO6KBimFG3rGhTRfY6agZSjnq56yifYWUnhw==" saltValue="WUmZbA7YR+RoFoUlEq2g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pgfPlLXVX3pqpHWH7Jdg7gcXPxb7zB9YEunF2ykR36HZvuKzrB+tr2MauuPMvI2Ro3jQ8569L8h0apJEKL66A==" saltValue="srIhOq1syoQicDHUzm6u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CwaQN1aMIP8X9sD1bX5bul2gQFD93ukHhVH+4VpoIqgk89WhPNv0ZGnBwD0Q85p1BvFFX79pvK8gRmNuxcuJQ==" saltValue="zN1q96LNX9R0+Oo8gtBa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SANTA 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0.30117647058823527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0.21296392468677194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x5OL8+iDkwXCZo/okUSfE6TzxmflOQ3NGx1zChUdhVejmp7972zO7t+8sK3JrS+aad/Ga2537Ii4Y1aa+W93Fw==" saltValue="/3m2Sp/k2YKA9T2ULfZ5j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KsvHIxcAmI1PdQfmJu+gkURjAaRBAA5m+o00nLq+t9Vcj+mnQrvCifdvUDPIyQk+RVuaCQWkwYeObbF8SClVA==" saltValue="OwJyYP8UNPTOJx7tTOW0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SANTA FE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0</v>
      </c>
      <c r="F10" s="403">
        <f>IF(ISNUMBER(E10/B10),E10/B10," - ")</f>
        <v>0</v>
      </c>
      <c r="G10" s="402">
        <f>IF(ISNUMBER(Datos!K10),Datos!K10," - ")</f>
        <v>3</v>
      </c>
      <c r="H10" s="403">
        <f>IF(ISNUMBER(G10/B10),G10/B10," - ")</f>
        <v>3</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4399</v>
      </c>
      <c r="D12" s="403">
        <f>IF(ISNUMBER(C12/Datos!BH12),C12/Datos!BH12," - ")</f>
        <v>1099.75</v>
      </c>
      <c r="E12" s="402">
        <f>IF(ISNUMBER(IF(J_V="SI",Datos!J12,Datos!J12+Datos!Z12)),IF(J_V="SI",Datos!J12,Datos!J12+Datos!Z12)," - ")</f>
        <v>624</v>
      </c>
      <c r="F12" s="403">
        <f>IF(ISNUMBER(E12/B12),E12/B12," - ")</f>
        <v>156</v>
      </c>
      <c r="G12" s="402">
        <f>IF(ISNUMBER(IF(J_V="SI",Datos!K12,Datos!K12+Datos!AA12)),IF(J_V="SI",Datos!K12,Datos!K12+Datos!AA12)," - ")</f>
        <v>847</v>
      </c>
      <c r="H12" s="403">
        <f>IF(ISNUMBER(G12/B12),G12/B12," - ")</f>
        <v>211.75</v>
      </c>
      <c r="I12" s="402">
        <f>IF(ISNUMBER(IF(J_V="SI",Datos!L12,Datos!L12+Datos!AB12)),IF(J_V="SI",Datos!L12,Datos!L12+Datos!AB12)," - ")</f>
        <v>4552</v>
      </c>
      <c r="J12" s="403">
        <f>IF(ISNUMBER(I12/B12),I12/B12," - ")</f>
        <v>1138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4413</v>
      </c>
      <c r="D13" s="849" t="str">
        <f>IF(ISNUMBER(C13/Datos!BI13),C13/Datos!BI13," - ")</f>
        <v xml:space="preserve"> - </v>
      </c>
      <c r="E13" s="848">
        <f>SUBTOTAL(9,E8:E12)</f>
        <v>624</v>
      </c>
      <c r="F13" s="849">
        <f>IF(ISNUMBER(E13/B13),E13/B13," - ")</f>
        <v>156</v>
      </c>
      <c r="G13" s="848">
        <f>SUBTOTAL(9,G8:G12)</f>
        <v>850</v>
      </c>
      <c r="H13" s="849">
        <f>IF(ISNUMBER(G13/B13),G13/B13," - ")</f>
        <v>212.5</v>
      </c>
      <c r="I13" s="848">
        <f>SUBTOTAL(9,I8:I12)</f>
        <v>4563</v>
      </c>
      <c r="J13" s="849">
        <f>IF(ISNUMBER(I13/B13),I13/B13," - ")</f>
        <v>1140.75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1930</v>
      </c>
      <c r="D16" s="403">
        <f>IF(ISNUMBER(C16/Datos!BH16),C16/Datos!BH16," - ")</f>
        <v>482.5</v>
      </c>
      <c r="E16" s="402">
        <f>IF(ISNUMBER(IF(D_I="SI",Datos!J16,Datos!J16+Datos!AD16)),IF(D_I="SI",Datos!J16,Datos!J16+Datos!AD16)," - ")</f>
        <v>871</v>
      </c>
      <c r="F16" s="403">
        <f>IF(ISNUMBER(E16/B16),E16/B16," - ")</f>
        <v>217.75</v>
      </c>
      <c r="G16" s="402">
        <f>IF(ISNUMBER(IF(D_I="SI",Datos!K16,Datos!K16+Datos!AE16)),IF(D_I="SI",Datos!K16,Datos!K16+Datos!AE16)," - ")</f>
        <v>661</v>
      </c>
      <c r="H16" s="403">
        <f>IF(ISNUMBER(G16/B16),G16/B16," - ")</f>
        <v>165.25</v>
      </c>
      <c r="I16" s="402">
        <f>IF(ISNUMBER(IF(D_I="SI",Datos!L16,Datos!L16+Datos!AF16)),IF(D_I="SI",Datos!L16,Datos!L16+Datos!AF16)," - ")</f>
        <v>2145</v>
      </c>
      <c r="J16" s="403">
        <f>IF(ISNUMBER(I16/B16),I16/B16," - ")</f>
        <v>536.25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126</v>
      </c>
      <c r="D17" s="403">
        <f>IF(ISNUMBER(C17/Datos!BH17),C17/Datos!BH17," - ")</f>
        <v>126</v>
      </c>
      <c r="E17" s="402">
        <f>IF(ISNUMBER(IF(D_I="SI",Datos!J17,Datos!J17+Datos!AD17)),IF(D_I="SI",Datos!J17,Datos!J17+Datos!AD17)," - ")</f>
        <v>0</v>
      </c>
      <c r="F17" s="403">
        <f>IF(ISNUMBER(E17/B17),E17/B17," - ")</f>
        <v>0</v>
      </c>
      <c r="G17" s="402">
        <f>IF(ISNUMBER(IF(D_I="SI",Datos!K17,Datos!K17+Datos!AE17)),IF(D_I="SI",Datos!K17,Datos!K17+Datos!AE17)," - ")</f>
        <v>23</v>
      </c>
      <c r="H17" s="403">
        <f>IF(ISNUMBER(G17/B17),G17/B17," - ")</f>
        <v>23</v>
      </c>
      <c r="I17" s="402">
        <f>IF(ISNUMBER(IF(D_I="SI",Datos!L17,Datos!L17+Datos!AF17)),IF(D_I="SI",Datos!L17,Datos!L17+Datos!AF17)," - ")</f>
        <v>103</v>
      </c>
      <c r="J17" s="403">
        <f>IF(ISNUMBER(I17/B17),I17/B17," - ")</f>
        <v>103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2056</v>
      </c>
      <c r="D18" s="849" t="str">
        <f>IF(ISNUMBER(C18/Datos!BI18),C18/Datos!BI18," - ")</f>
        <v xml:space="preserve"> - </v>
      </c>
      <c r="E18" s="848">
        <f>SUBTOTAL(9,E14:E17)</f>
        <v>871</v>
      </c>
      <c r="F18" s="849">
        <f>IF(ISNUMBER(E18/B18),E18/B18," - ")</f>
        <v>217.75</v>
      </c>
      <c r="G18" s="848">
        <f>SUBTOTAL(9,G14:G17)</f>
        <v>684</v>
      </c>
      <c r="H18" s="849">
        <f>IF(ISNUMBER(G18/B18),G18/B18," - ")</f>
        <v>171</v>
      </c>
      <c r="I18" s="848">
        <f>SUBTOTAL(9,I14:I17)</f>
        <v>2248</v>
      </c>
      <c r="J18" s="849">
        <f>IF(ISNUMBER(I18/B18),I18/B18," - ")</f>
        <v>562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6469</v>
      </c>
      <c r="D19" s="794" t="str">
        <f>IF(ISNUMBER(C19/Datos!BI19),C19/Datos!BI19," - ")</f>
        <v xml:space="preserve"> - </v>
      </c>
      <c r="E19" s="793">
        <f>SUBTOTAL(9,E9:E18)</f>
        <v>1495</v>
      </c>
      <c r="F19" s="794">
        <f>IF(ISNUMBER(E19/B19),E19/B19," - ")</f>
        <v>373.75</v>
      </c>
      <c r="G19" s="793">
        <f>SUBTOTAL(9,G9:G18)</f>
        <v>1534</v>
      </c>
      <c r="H19" s="794">
        <f>IF(ISNUMBER(G19/B19),G19/B19," - ")</f>
        <v>383.5</v>
      </c>
      <c r="I19" s="793">
        <f>SUBTOTAL(9,I9:I18)</f>
        <v>6811</v>
      </c>
      <c r="J19" s="794">
        <f>IF(ISNUMBER(I19/B19),I19/B19," - ")</f>
        <v>1702.75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87ucxe5seQlusnpXrAyH1Ry192xWTQSJp46FvXaspoXCG+c7WKni8xyvC/4tUR+zFDoTmPJBwFvWcO3ppuaaHg==" saltValue="N0FXscP66cAIp70ZeURu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SANTA 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7.3333333333333321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6058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253</v>
      </c>
      <c r="AM12" s="689">
        <f>IF(ISNUMBER(Datos!N12+DatosP!N16),Datos!N12+DatosP!N16," - ")</f>
        <v>316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10.748524203069657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4.2326221610461116E-2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336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90</v>
      </c>
      <c r="AE13" s="938">
        <f t="shared" si="1"/>
        <v>0</v>
      </c>
      <c r="AF13" s="938">
        <f t="shared" si="1"/>
        <v>11</v>
      </c>
      <c r="AG13" s="938">
        <f t="shared" si="1"/>
        <v>0</v>
      </c>
      <c r="AH13" s="938">
        <f t="shared" si="1"/>
        <v>6058</v>
      </c>
      <c r="AI13" s="938">
        <f t="shared" si="1"/>
        <v>0</v>
      </c>
      <c r="AJ13" s="938">
        <f t="shared" si="1"/>
        <v>0</v>
      </c>
      <c r="AK13" s="938">
        <f t="shared" si="1"/>
        <v>0</v>
      </c>
      <c r="AL13" s="938">
        <f t="shared" si="1"/>
        <v>256</v>
      </c>
      <c r="AM13" s="938">
        <f t="shared" si="1"/>
        <v>316</v>
      </c>
      <c r="AN13" s="938">
        <f t="shared" si="1"/>
        <v>0</v>
      </c>
      <c r="AO13" s="938">
        <f t="shared" si="1"/>
        <v>0</v>
      </c>
      <c r="AP13" s="943">
        <f>IF(ISNUMBER(((Datos!L13/Datos!K13)*11)/factor_trimestre),((Datos!L13/Datos!K13)*11)/factor_trimestre," - ")</f>
        <v>10.445544554455445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-0.21428571428571427</v>
      </c>
      <c r="AU13" s="938" t="str">
        <f>IF(ISNUMBER((DatosP!#REF!-DatosP!#REF!+DatosP!#REF!)/(DatosP!#REF!+DatosP!#REF!-DatosP!#REF!-DatosP!#REF!)),(DatosP!#REF!-DatosP!#REF!+DatosP!#REF!)/(DatosP!#REF!+DatosP!#REF!-DatosP!#REF!-DatosP!#REF!)," - ")</f>
        <v xml:space="preserve"> - </v>
      </c>
      <c r="AV13" s="944">
        <f>SUBTOTAL(9,AV9:AV12)</f>
        <v>4.2326221610461116E-2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6.5730994152046796</v>
      </c>
      <c r="AQ18" s="943">
        <f>IF(ISNUMBER(((Datos!M18/Datos!L18)*11)/factor_trimestre),((Datos!M18/Datos!L18)*11)/factor_trimestre," - ")</f>
        <v>6.1387900355871876E-2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-1.1204481792717087E-2</v>
      </c>
      <c r="AW18" s="945">
        <f>IF(ISNUMBER((Datos!Q18-Datos!R18)/(Datos!S18-Datos!Q18+Datos!R18)),(Datos!Q18-Datos!R18)/(Datos!S18-Datos!Q18+Datos!R18)," - ")</f>
        <v>-0.1497854077253219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336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90</v>
      </c>
      <c r="AE19" s="956">
        <f t="shared" si="5"/>
        <v>0</v>
      </c>
      <c r="AF19" s="957">
        <f t="shared" si="5"/>
        <v>11</v>
      </c>
      <c r="AG19" s="957">
        <f t="shared" si="5"/>
        <v>0</v>
      </c>
      <c r="AH19" s="957">
        <f t="shared" si="5"/>
        <v>6058</v>
      </c>
      <c r="AI19" s="957">
        <f t="shared" si="5"/>
        <v>0</v>
      </c>
      <c r="AJ19" s="958">
        <f t="shared" si="5"/>
        <v>0</v>
      </c>
      <c r="AK19" s="958">
        <f t="shared" si="5"/>
        <v>0</v>
      </c>
      <c r="AL19" s="950">
        <f t="shared" si="5"/>
        <v>256</v>
      </c>
      <c r="AM19" s="950">
        <f t="shared" si="5"/>
        <v>316</v>
      </c>
      <c r="AN19" s="950">
        <f t="shared" si="5"/>
        <v>0</v>
      </c>
      <c r="AO19" s="950">
        <f t="shared" si="5"/>
        <v>0</v>
      </c>
      <c r="AP19" s="950">
        <f>IF(ISNUMBER(((Datos!L19/Datos!K19)*11)/factor_trimestre),((Datos!L19/Datos!K19)*11)/factor_trimestre," - ")</f>
        <v>8.6702412868632699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-0.21428571428571427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3.9190283400809718E-2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146.07988681996346</v>
      </c>
      <c r="AM21" s="735"/>
      <c r="AN21" s="735">
        <f>IF(ISNUMBER(STDEV(AN8:AN18)),STDEV(AN8:AN18),"-")</f>
        <v>0</v>
      </c>
      <c r="AO21" s="741">
        <f>IF(ISNUMBER(STDEV(AO8:AO18)),STDEV(AO8:AO18),"-")</f>
        <v>0</v>
      </c>
      <c r="AP21" s="778">
        <f>IF(ISNUMBER(STDEV(AP8:AP18)),STDEV(AP8:AP18),"-")</f>
        <v>2.1301240800123376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Ac//VCmDU0N2G6O4zzBlsWW546Fitg+jZazYBc0rr+xTOn4NechIuiszz4VIjkeMqB2+6fq64sOXbebLzbXNw==" saltValue="fdMYAngzQvZQDI5jzx85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SANTA 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81dryb5jExA+yam9Gfe6+X9mxEVQNfi14/enLfZ5A1MNsUG9rPehpjw/Zvw+odbcJbj6WNLuXhK10NzhhIPg==" saltValue="miFlFemLoXFDR/iaXCKi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SANTA FE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253</v>
      </c>
      <c r="E12" s="403">
        <f t="shared" si="0"/>
        <v>63.25</v>
      </c>
      <c r="F12" s="402">
        <f>IF(ISNUMBER(Datos!N12),Datos!N12," - ")</f>
        <v>316</v>
      </c>
      <c r="G12" s="403">
        <f t="shared" si="1"/>
        <v>79</v>
      </c>
      <c r="H12" s="402">
        <f>IF(ISNUMBER(Datos!O12),Datos!O12," - ")</f>
        <v>312</v>
      </c>
      <c r="I12" s="403">
        <f t="shared" si="2"/>
        <v>78</v>
      </c>
      <c r="BZ12" s="1185">
        <f>Datos!EZ12</f>
        <v>0</v>
      </c>
    </row>
    <row r="13" spans="1:78" ht="14.25" thickTop="1" thickBot="1">
      <c r="A13" s="847" t="str">
        <f>Datos!A13</f>
        <v>TOTAL</v>
      </c>
      <c r="B13" s="848">
        <f>Datos!AP13</f>
        <v>4</v>
      </c>
      <c r="C13" s="850">
        <f>Datos!AR13</f>
        <v>4</v>
      </c>
      <c r="D13" s="848">
        <f>SUBTOTAL(9,D9:D12)</f>
        <v>256</v>
      </c>
      <c r="E13" s="849">
        <f t="shared" si="0"/>
        <v>64</v>
      </c>
      <c r="F13" s="848">
        <f>SUBTOTAL(9,F9:F12)</f>
        <v>316</v>
      </c>
      <c r="G13" s="849">
        <f t="shared" si="1"/>
        <v>79</v>
      </c>
      <c r="H13" s="848">
        <f>SUBTOTAL(9,H9:H12)</f>
        <v>312</v>
      </c>
      <c r="I13" s="849">
        <f>IF(ISNUMBER(H13/B13),H13/B13," - ")</f>
        <v>78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69</v>
      </c>
      <c r="E16" s="403">
        <f t="shared" si="3"/>
        <v>17.25</v>
      </c>
      <c r="F16" s="402">
        <f>IF(ISNUMBER(Datos!N16),Datos!N16," - ")</f>
        <v>414</v>
      </c>
      <c r="G16" s="403">
        <f t="shared" si="4"/>
        <v>103.5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69</v>
      </c>
      <c r="E18" s="849">
        <f t="shared" si="3"/>
        <v>17.25</v>
      </c>
      <c r="F18" s="848">
        <f>SUBTOTAL(9,F15:F17)</f>
        <v>427</v>
      </c>
      <c r="G18" s="849">
        <f t="shared" si="4"/>
        <v>106.75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325</v>
      </c>
      <c r="E19" s="794">
        <f>IF(ISNUMBER(D19/B19),D19/B19," - ")</f>
        <v>81.25</v>
      </c>
      <c r="F19" s="793">
        <f>SUBTOTAL(9,F8:F18)</f>
        <v>743</v>
      </c>
      <c r="G19" s="794">
        <f>IF(ISNUMBER(F19/B19),F19/B19," - ")</f>
        <v>185.75</v>
      </c>
      <c r="H19" s="793">
        <f>SUBTOTAL(9,H8:H18)</f>
        <v>312</v>
      </c>
      <c r="I19" s="794">
        <f>IF(ISNUMBER(H19/B19),H19/B19," - ")</f>
        <v>78</v>
      </c>
    </row>
    <row r="22" spans="1:78">
      <c r="A22" s="390" t="str">
        <f>Criterios!A4</f>
        <v>Fecha Informe: 09 dic. 2025</v>
      </c>
    </row>
    <row r="27" spans="1:78">
      <c r="A27" s="413"/>
    </row>
  </sheetData>
  <sheetProtection algorithmName="SHA-512" hashValue="kuadUpqeKeEDxVJMmUyxsJTfbDJibFSPDwByHmwPd74a+V+e+ZkfQjdfD4oIUYDncVfSlY8udc76QeBF7Aob8g==" saltValue="nbxrMyjfo7sm6aJEuTF+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SANTA FE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336</v>
      </c>
      <c r="C12" s="433">
        <f>IF(ISNUMBER(Datos!Q12),Datos!Q12," - ")</f>
        <v>90</v>
      </c>
      <c r="D12" s="407">
        <f>IF(ISNUMBER(Datos!R12),Datos!R12," - ")</f>
        <v>6058</v>
      </c>
    </row>
    <row r="13" spans="1:4" ht="14.25" thickTop="1" thickBot="1">
      <c r="A13" s="847" t="str">
        <f>Datos!A13</f>
        <v>TOTAL</v>
      </c>
      <c r="B13" s="848">
        <f>SUBTOTAL(9,B9:B12)</f>
        <v>336</v>
      </c>
      <c r="C13" s="852">
        <f>SUBTOTAL(9,C9:C12)</f>
        <v>90</v>
      </c>
      <c r="D13" s="850">
        <f>SUBTOTAL(9,D9:D12)</f>
        <v>6064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353</v>
      </c>
    </row>
    <row r="17" spans="1:4" ht="13.5" thickBot="1">
      <c r="A17" s="401" t="str">
        <f>Datos!A17</f>
        <v>Jdos. Violencia contra la mujer/Secc Viol. TI.</v>
      </c>
      <c r="B17" s="432">
        <f>IF(ISNUMBER(Datos!P17),Datos!P17," - ")</f>
        <v>0</v>
      </c>
      <c r="C17" s="433">
        <f>IF(ISNUMBER(Datos!Q17),Datos!Q17," - ")</f>
        <v>4</v>
      </c>
      <c r="D17" s="407">
        <f>IF(ISNUMBER(Datos!R17),Datos!R17," - ")</f>
        <v>0</v>
      </c>
    </row>
    <row r="18" spans="1:4" ht="14.25" thickTop="1" thickBot="1">
      <c r="A18" s="847" t="str">
        <f>Datos!A18</f>
        <v>TOTAL</v>
      </c>
      <c r="B18" s="848">
        <f>SUBTOTAL(9,B15:B17)</f>
        <v>0</v>
      </c>
      <c r="C18" s="852">
        <f>SUBTOTAL(9,C15:C17)</f>
        <v>4</v>
      </c>
      <c r="D18" s="850">
        <f>SUBTOTAL(9,D15:D17)</f>
        <v>353</v>
      </c>
    </row>
    <row r="19" spans="1:4" ht="16.5" customHeight="1" thickTop="1" thickBot="1">
      <c r="A19" s="792" t="str">
        <f>Datos!A19</f>
        <v>TOTAL JURISDICCIONES</v>
      </c>
      <c r="B19" s="797">
        <f>SUBTOTAL(9,B8:B18)</f>
        <v>336</v>
      </c>
      <c r="C19" s="798">
        <f>SUBTOTAL(9,C8:C18)</f>
        <v>94</v>
      </c>
      <c r="D19" s="799">
        <f>SUBTOTAL(9,D8:D18)</f>
        <v>6417</v>
      </c>
    </row>
    <row r="20" spans="1:4" ht="7.5" customHeight="1"/>
    <row r="21" spans="1:4" ht="6" customHeight="1"/>
    <row r="22" spans="1:4">
      <c r="A22" s="390" t="str">
        <f>Criterios!A4</f>
        <v>Fecha Informe: 09 dic. 2025</v>
      </c>
    </row>
    <row r="27" spans="1:4">
      <c r="A27" s="413"/>
    </row>
  </sheetData>
  <sheetProtection algorithmName="SHA-512" hashValue="YipmQ3vLyjWOQAZSaL++2yoz8+wQzhj9HgPWxP8Ia1bLK7Mvh5vox5/ToE1KtPi/NA9uneXao8z9mZIPJ9xU/Q==" saltValue="XQDuY7OioPXpBdkXV+h2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SANTA FE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-0.75862068965517238</v>
      </c>
      <c r="C10" s="455" t="str">
        <f>IF(ISNUMBER((Datos!J10-Datos!T10)/Datos!T10),(Datos!J10-Datos!T10)/Datos!T10," - ")</f>
        <v xml:space="preserve"> - </v>
      </c>
      <c r="D10" s="455">
        <f>IF(ISNUMBER((Datos!K10-Datos!U10)/Datos!U10),(Datos!K10-Datos!U10)/Datos!U10," - ")</f>
        <v>-0.25</v>
      </c>
      <c r="E10" s="455">
        <f>IF(ISNUMBER((Datos!L10-Datos!V10)/Datos!V10),(Datos!L10-Datos!V10)/Datos!V10," - ")</f>
        <v>-0.79629629629629628</v>
      </c>
      <c r="F10" s="455">
        <f>IF(ISNUMBER((Datos!M10-Datos!W10)/Datos!W10),(Datos!M10-Datos!W10)/Datos!W10," - ")</f>
        <v>0</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-0.72839506172839508</v>
      </c>
      <c r="J10" s="460">
        <f>IF(ISNUMBER((('Resol  Asuntos'!D10/NºAsuntos!G10)-Datos!BF10)/Datos!BF10),(('Resol  Asuntos'!D10/NºAsuntos!G10)-Datos!BF10)/Datos!BF10," - ")</f>
        <v>0.33333333333333331</v>
      </c>
      <c r="K10" s="461">
        <f>IF(ISNUMBER((((NºAsuntos!C10+NºAsuntos!E10)/NºAsuntos!G10)-Datos!BG10)/Datos!BG10),(((NºAsuntos!C10+NºAsuntos!E10)/NºAsuntos!G10)-Datos!BG10)/Datos!BG10," - ")</f>
        <v>-0.67816091954022983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0.19117248849174112</v>
      </c>
      <c r="C12" s="455">
        <f>IF(ISNUMBER(
   IF(J_V="SI",(Datos!J12-Datos!T12)/Datos!T12,(Datos!J12+Datos!Z12-(Datos!T12+Datos!AH12))/(Datos!T12+Datos!AH12))
     ),IF(J_V="SI",(Datos!J12-Datos!T12)/Datos!T12,(Datos!J12+Datos!Z12-(Datos!T12+Datos!AH12))/(Datos!T12+Datos!AH12))," - ")</f>
        <v>-0.41518275538894095</v>
      </c>
      <c r="D12" s="455">
        <f>IF(ISNUMBER(
   IF(J_V="SI",(Datos!K12-Datos!U12)/Datos!U12,(Datos!K12+Datos!AA12-(Datos!U12+Datos!AI12))/(Datos!U12+Datos!AI12))
     ),IF(J_V="SI",(Datos!K12-Datos!U12)/Datos!U12,(Datos!K12+Datos!AA12-(Datos!U12+Datos!AI12))/(Datos!U12+Datos!AI12))," - ")</f>
        <v>-3.6405005688282137E-2</v>
      </c>
      <c r="E12" s="455">
        <f>IF(ISNUMBER(
   IF(J_V="SI",(Datos!L12-Datos!V12)/Datos!V12,(Datos!L12+Datos!AB12-(Datos!V12+Datos!AJ12))/(Datos!V12+Datos!AJ12))
     ),IF(J_V="SI",(Datos!L12-Datos!V12)/Datos!V12,(Datos!L12+Datos!AB12-(Datos!V12+Datos!AJ12))/(Datos!V12+Datos!AJ12))," - ")</f>
        <v>0.17713990173260927</v>
      </c>
      <c r="F12" s="455">
        <f>IF(ISNUMBER((Datos!M12-Datos!W12)/Datos!W12),(Datos!M12-Datos!W12)/Datos!W12," - ")</f>
        <v>0.4375</v>
      </c>
      <c r="G12" s="456">
        <f>IF(ISNUMBER((Datos!N12-Datos!X12)/Datos!X12),(Datos!N12-Datos!X12)/Datos!X12," - ")</f>
        <v>-9.7142857142857142E-2</v>
      </c>
      <c r="H12" s="454">
        <f>IF(ISNUMBER(((NºAsuntos!G12/NºAsuntos!E12)-Datos!BD12)/Datos!BD12),((NºAsuntos!G12/NºAsuntos!E12)-Datos!BD12)/Datos!BD12," - ")</f>
        <v>0.64768567136314592</v>
      </c>
      <c r="I12" s="455">
        <f>IF(ISNUMBER(((NºAsuntos!I12/NºAsuntos!G12)-Datos!BE12)/Datos!BE12),((NºAsuntos!I12/NºAsuntos!G12)-Datos!BE12)/Datos!BE12," - ")</f>
        <v>0.22161271974375854</v>
      </c>
      <c r="J12" s="460">
        <f>IF(ISNUMBER((('Resol  Asuntos'!D12/NºAsuntos!G12)-Datos!BF12)/Datos!BF12),(('Resol  Asuntos'!D12/NºAsuntos!G12)-Datos!BF12)/Datos!BF12," - ")</f>
        <v>-0.24983302411873845</v>
      </c>
      <c r="K12" s="461">
        <f>IF(ISNUMBER((((NºAsuntos!C12+NºAsuntos!E12)/NºAsuntos!G12)-Datos!BG12)/Datos!BG12),(((NºAsuntos!C12+NºAsuntos!E12)/NºAsuntos!G12)-Datos!BG12)/Datos!BG12," - ")</f>
        <v>9.5119948805968649E-2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0.17648627032791256</v>
      </c>
      <c r="C13" s="854">
        <f>IF(ISNUMBER(
   IF(J_V="SI",(Datos!J13-Datos!T13)/Datos!T13,(Datos!J13+Datos!Z13-(Datos!T13+Datos!AH13))/(Datos!T13+Datos!AH13))
     ),IF(J_V="SI",(Datos!J13-Datos!T13)/Datos!T13,(Datos!J13+Datos!Z13-(Datos!T13+Datos!AH13))/(Datos!T13+Datos!AH13))," - ")</f>
        <v>-0.41518275538894095</v>
      </c>
      <c r="D13" s="854">
        <f>IF(ISNUMBER(
   IF(J_V="SI",(Datos!K13-Datos!U13)/Datos!U13,(Datos!K13+Datos!AA13-(Datos!U13+Datos!AI13))/(Datos!U13+Datos!AI13))
     ),IF(J_V="SI",(Datos!K13-Datos!U13)/Datos!U13,(Datos!K13+Datos!AA13-(Datos!U13+Datos!AI13))/(Datos!U13+Datos!AI13))," - ")</f>
        <v>-3.7372593431483581E-2</v>
      </c>
      <c r="E13" s="854">
        <f>IF(ISNUMBER(
   IF(J_V="SI",(Datos!L13-Datos!V13)/Datos!V13,(Datos!L13+Datos!AB13-(Datos!V13+Datos!AJ13))/(Datos!V13+Datos!AJ13))
     ),IF(J_V="SI",(Datos!L13-Datos!V13)/Datos!V13,(Datos!L13+Datos!AB13-(Datos!V13+Datos!AJ13))/(Datos!V13+Datos!AJ13))," - ")</f>
        <v>0.16373374139250191</v>
      </c>
      <c r="F13" s="855">
        <f>IF(ISNUMBER((Datos!M13-Datos!W13)/Datos!W13),(Datos!M13-Datos!W13)/Datos!W13," - ")</f>
        <v>0.43016759776536312</v>
      </c>
      <c r="G13" s="856">
        <f>IF(ISNUMBER((Datos!N13-Datos!X13)/Datos!X13),(Datos!N13-Datos!X13)/Datos!X13," - ")</f>
        <v>-0.10227272727272728</v>
      </c>
      <c r="H13" s="856">
        <f>IF(ISNUMBER(((NºAsuntos!G13/NºAsuntos!E13)-Datos!BD13)/Datos!BD13),((NºAsuntos!G13/NºAsuntos!E13)-Datos!BD13)/Datos!BD13," - ")</f>
        <v>0.64603115834712665</v>
      </c>
      <c r="I13" s="856">
        <f>IF(ISNUMBER(((NºAsuntos!I13/NºAsuntos!G13)-Datos!BE13)/Datos!BE13),((NºAsuntos!I13/NºAsuntos!G13)-Datos!BE13)/Datos!BE13," - ")</f>
        <v>0.20891399252891668</v>
      </c>
      <c r="J13" s="856">
        <f>IF(ISNUMBER((('Resol  Asuntos'!D13/NºAsuntos!G13)-Datos!BF13)/Datos!BF13),(('Resol  Asuntos'!D13/NºAsuntos!G13)-Datos!BF13)/Datos!BF13," - ")</f>
        <v>-0.24663222796200637</v>
      </c>
      <c r="K13" s="856">
        <f>IF(ISNUMBER((((NºAsuntos!C13+NºAsuntos!E13)/NºAsuntos!G13)-Datos!BG13)/Datos!BG13),(((NºAsuntos!C13+NºAsuntos!E13)/NºAsuntos!G13)-Datos!BG13)/Datos!BG13," - ")</f>
        <v>8.6042780748663075E-2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7.6408254322364755E-2</v>
      </c>
      <c r="C16" s="455">
        <f>IF(ISNUMBER(
   IF(D_I="SI",(Datos!J16-Datos!T16)/Datos!T16,(Datos!J16+Datos!AD16-(Datos!T16+Datos!AL16))/(Datos!T16+Datos!AL16))
     ),IF(D_I="SI",(Datos!J16-Datos!T16)/Datos!T16,(Datos!J16+Datos!AD16-(Datos!T16+Datos!AL16))/(Datos!T16+Datos!AL16))," - ")</f>
        <v>-0.11303462321792261</v>
      </c>
      <c r="D16" s="455">
        <f>IF(ISNUMBER(
   IF(D_I="SI",(Datos!K16-Datos!U16)/Datos!U16,(Datos!K16+Datos!AE16-(Datos!U16+Datos!AM16))/(Datos!U16+Datos!AM16))
     ),IF(D_I="SI",(Datos!K16-Datos!U16)/Datos!U16,(Datos!K16+Datos!AE16-(Datos!U16+Datos!AM16))/(Datos!U16+Datos!AM16))," - ")</f>
        <v>-0.23847926267281105</v>
      </c>
      <c r="E16" s="455">
        <f>IF(ISNUMBER(
   IF(D_I="SI",(Datos!L16-Datos!V16)/Datos!V16,(Datos!L16+Datos!AF16-(Datos!V16+Datos!AN16))/(Datos!V16+Datos!AN16))
     ),IF(D_I="SI",(Datos!L16-Datos!V16)/Datos!V16,(Datos!L16+Datos!AF16-(Datos!V16+Datos!AN16))/(Datos!V16+Datos!AN16))," - ")</f>
        <v>0.11835245046923878</v>
      </c>
      <c r="F16" s="455">
        <f>IF(ISNUMBER((Datos!M16-Datos!W16)/Datos!W16),(Datos!M16-Datos!W16)/Datos!W16," - ")</f>
        <v>-0.3669724770642202</v>
      </c>
      <c r="G16" s="456">
        <f>IF(ISNUMBER((Datos!N16-Datos!X16)/Datos!X16),(Datos!N16-Datos!X16)/Datos!X16," - ")</f>
        <v>-0.14814814814814814</v>
      </c>
      <c r="H16" s="454">
        <f>IF(ISNUMBER(((NºAsuntos!G16/NºAsuntos!E16)-Datos!BD16)/Datos!BD16),((NºAsuntos!G16/NºAsuntos!E16)-Datos!BD16)/Datos!BD16," - ")</f>
        <v>-0.14143126974133235</v>
      </c>
      <c r="I16" s="455">
        <f>IF(ISNUMBER(((NºAsuntos!I16/NºAsuntos!G16)-Datos!BE16)/Datos!BE16),((NºAsuntos!I16/NºAsuntos!G16)-Datos!BE16)/Datos!BE16," - ")</f>
        <v>0.46857780182647413</v>
      </c>
      <c r="J16" s="460">
        <f>IF(ISNUMBER((('Resol  Asuntos'!D16/NºAsuntos!G16)-Datos!BF16)/Datos!BF16),(('Resol  Asuntos'!D16/NºAsuntos!G16)-Datos!BF16)/Datos!BF16," - ")</f>
        <v>-0.16873239045649491</v>
      </c>
      <c r="K16" s="461">
        <f>IF(ISNUMBER((((NºAsuntos!C16+NºAsuntos!E16)/NºAsuntos!G16)-Datos!BG16)/Datos!BG16),(((NºAsuntos!C16+NºAsuntos!E16)/NºAsuntos!G16)-Datos!BG16)/Datos!BG16," - ")</f>
        <v>0.32546537460304464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-0.32978723404255317</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-0.47727272727272729</v>
      </c>
      <c r="E17" s="455">
        <f>IF(ISNUMBER(
   IF(D_I="SI",(Datos!L17-Datos!V17)/Datos!V17,(Datos!L17+Datos!AF17-(Datos!V17+Datos!AN17))/(Datos!V17+Datos!AN17))
     ),IF(D_I="SI",(Datos!L17-Datos!V17)/Datos!V17,(Datos!L17+Datos!AF17-(Datos!V17+Datos!AN17))/(Datos!V17+Datos!AN17))," - ")</f>
        <v>-0.455026455026455</v>
      </c>
      <c r="F17" s="455" t="str">
        <f>IF(ISNUMBER((Datos!M17-Datos!W17)/Datos!W17),(Datos!M17-Datos!W17)/Datos!W17," - ")</f>
        <v xml:space="preserve"> - </v>
      </c>
      <c r="G17" s="456">
        <f>IF(ISNUMBER((Datos!N17-Datos!X17)/Datos!X17),(Datos!N17-Datos!X17)/Datos!X17," - ")</f>
        <v>-0.45833333333333331</v>
      </c>
      <c r="H17" s="454" t="str">
        <f>IF(ISNUMBER(((NºAsuntos!G17/NºAsuntos!E17)-Datos!BD17)/Datos!BD17),((NºAsuntos!G17/NºAsuntos!E17)-Datos!BD17)/Datos!BD17," - ")</f>
        <v xml:space="preserve"> - </v>
      </c>
      <c r="I17" s="455">
        <f>IF(ISNUMBER(((NºAsuntos!I17/NºAsuntos!G17)-Datos!BE17)/Datos!BE17),((NºAsuntos!I17/NºAsuntos!G17)-Datos!BE17)/Datos!BE17," - ")</f>
        <v>4.2558086036346886E-2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0.26864988558352404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3.7859666834931853E-2</v>
      </c>
      <c r="C18" s="854">
        <f>IF(ISNUMBER(
   IF(Criterios!B14="SI",(Datos!J18-Datos!T18)/Datos!T18,(Datos!J18+Datos!AD18-(Datos!T18+Datos!AL18))/(Datos!T18+Datos!AL18))
     ),IF(Criterios!B14="SI",(Datos!J18-Datos!T18)/Datos!T18,(Datos!J18+Datos!AD18-(Datos!T18+Datos!AL18))/(Datos!T18+Datos!AL18))," - ")</f>
        <v>-0.11483739837398374</v>
      </c>
      <c r="D18" s="854">
        <f>IF(ISNUMBER(
   IF(Criterios!B14="SI",(Datos!K18-Datos!U18)/Datos!U18,(Datos!K18+Datos!AE18-(Datos!U18+Datos!AM18))/(Datos!U18+Datos!AM18))
     ),IF(Criterios!B14="SI",(Datos!K18-Datos!U18)/Datos!U18,(Datos!K18+Datos!AE18-(Datos!U18+Datos!AM18))/(Datos!U18+Datos!AM18))," - ")</f>
        <v>-0.25</v>
      </c>
      <c r="E18" s="854">
        <f>IF(ISNUMBER(
   IF(Criterios!B14="SI",(Datos!L18-Datos!V18)/Datos!V18,(Datos!L18+Datos!AF18-(Datos!V18+Datos!AN18))/(Datos!V18+Datos!AN18))
     ),IF(Criterios!B14="SI",(Datos!L18-Datos!V18)/Datos!V18,(Datos!L18+Datos!AF18-(Datos!V18+Datos!AN18))/(Datos!V18+Datos!AN18))," - ")</f>
        <v>6.6919791172282861E-2</v>
      </c>
      <c r="F18" s="855">
        <f>IF(ISNUMBER((Datos!M18-Datos!W18)/Datos!W18),(Datos!M18-Datos!W18)/Datos!W18," - ")</f>
        <v>-0.3669724770642202</v>
      </c>
      <c r="G18" s="856">
        <f>IF(ISNUMBER((Datos!N18-Datos!X18)/Datos!X18),(Datos!N18-Datos!X18)/Datos!X18," - ")</f>
        <v>-0.16274509803921569</v>
      </c>
      <c r="H18" s="856">
        <f>IF(ISNUMBER(((NºAsuntos!G18/NºAsuntos!E18)-Datos!BD18)/Datos!BD18),((NºAsuntos!G18/NºAsuntos!E18)-Datos!BD18)/Datos!BD18," - ")</f>
        <v>-0.15269804822043637</v>
      </c>
      <c r="I18" s="856">
        <f>IF(ISNUMBER(((NºAsuntos!I18/NºAsuntos!G18)-Datos!BE18)/Datos!BE18),((NºAsuntos!I18/NºAsuntos!G18)-Datos!BE18)/Datos!BE18," - ")</f>
        <v>0.42255972156304394</v>
      </c>
      <c r="J18" s="856">
        <f>IF(ISNUMBER((('Resol  Asuntos'!D18/NºAsuntos!G18)-Datos!BF18)/Datos!BF18),(('Resol  Asuntos'!D18/NºAsuntos!G18)-Datos!BF18)/Datos!BF18," - ")</f>
        <v>-0.15596330275229361</v>
      </c>
      <c r="K18" s="856">
        <f>IF(ISNUMBER((((NºAsuntos!C18+NºAsuntos!E18)/NºAsuntos!G18)-Datos!BG18)/Datos!BG18),(((NºAsuntos!C18+NºAsuntos!E18)/NºAsuntos!G18)-Datos!BG18)/Datos!BG18," - ")</f>
        <v>0.3162450815064643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0.12857641311933007</v>
      </c>
      <c r="C19" s="801">
        <f>IF(ISNUMBER(
   IF(J_V="SI",(Datos!J19-Datos!T19)/Datos!T19,(Datos!J19+Datos!Z19-(Datos!T19+Datos!AH19))/(Datos!T19+Datos!AH19))
     ),IF(J_V="SI",(Datos!J19-Datos!T19)/Datos!T19,(Datos!J19+Datos!Z19-(Datos!T19+Datos!AH19))/(Datos!T19+Datos!AH19))," - ")</f>
        <v>-0.27108727450024378</v>
      </c>
      <c r="D19" s="801">
        <f>IF(ISNUMBER(
   IF(J_V="SI",(Datos!K19-Datos!U19)/Datos!U19,(Datos!K19+Datos!AA19-(Datos!U19+Datos!AI19))/(Datos!U19+Datos!AI19))
     ),IF(J_V="SI",(Datos!K19-Datos!U19)/Datos!U19,(Datos!K19+Datos!AA19-(Datos!U19+Datos!AI19))/(Datos!U19+Datos!AI19))," - ")</f>
        <v>-0.14540389972144846</v>
      </c>
      <c r="E19" s="801">
        <f>IF(ISNUMBER(
   IF(J_V="SI",(Datos!L19-Datos!V19)/Datos!V19,(Datos!L19+Datos!AB19-(Datos!V19+Datos!AJ19))/(Datos!V19+Datos!AJ19))
     ),IF(J_V="SI",(Datos!L19-Datos!V19)/Datos!V19,(Datos!L19+Datos!AB19-(Datos!V19+Datos!AJ19))/(Datos!V19+Datos!AJ19))," - ")</f>
        <v>0.12989382879893829</v>
      </c>
      <c r="F19" s="802">
        <f>IF(ISNUMBER((Datos!M19-Datos!W19)/Datos!W19),(Datos!M19-Datos!W19)/Datos!W19," - ")</f>
        <v>0.12847222222222221</v>
      </c>
      <c r="G19" s="803">
        <f>IF(ISNUMBER((Datos!N19-Datos!X19)/Datos!X19),(Datos!N19-Datos!X19)/Datos!X19," - ")</f>
        <v>-0.13805104408352667</v>
      </c>
      <c r="H19" s="804">
        <f>IF(ISNUMBER((Tasas!B19-Datos!BD19)/Datos!BD19),(Tasas!B19-Datos!BD19)/Datos!BD19," - ")</f>
        <v>0.17242582051592589</v>
      </c>
      <c r="I19" s="805">
        <f>IF(ISNUMBER((Tasas!C19-Datos!BE19)/Datos!BE19),(Tasas!C19-Datos!BE19)/Datos!BE19," - ")</f>
        <v>0.3221378244420432</v>
      </c>
      <c r="J19" s="806">
        <f>IF(ISNUMBER((Tasas!D19-Datos!BF19)/Datos!BF19),(Tasas!D19-Datos!BF19)/Datos!BF19," - ")</f>
        <v>-0.17684716413529972</v>
      </c>
      <c r="K19" s="806">
        <f>IF(ISNUMBER((Tasas!E19-Datos!BG19)/Datos!BG19),(Tasas!E19-Datos!BG19)/Datos!BG19," - ")</f>
        <v>0.19735605348533988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gk1hUKFMbofLgYUBlTCIdhkCQTvN/tpgqcSr+MD3f4kCUItEhMYc5j9mevI3TJo+3C9CZ27VpebekGgwsCS2Q==" saltValue="BgMRNY2fYwshoKzEQtSV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SANTA FE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3.6666666666666665</v>
      </c>
      <c r="D10" s="443">
        <f>IF(ISNUMBER('Resol  Asuntos'!D10/NºAsuntos!G10),'Resol  Asuntos'!D10/NºAsuntos!G10," - ")</f>
        <v>1</v>
      </c>
      <c r="E10" s="444">
        <f>IF(ISNUMBER((NºAsuntos!C10+NºAsuntos!E10)/NºAsuntos!G10),(NºAsuntos!C10+NºAsuntos!E10)/NºAsuntos!G10," - ")</f>
        <v>4.666666666666667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1.3573717948717949</v>
      </c>
      <c r="C12" s="442">
        <f>IF(ISNUMBER(NºAsuntos!I12/NºAsuntos!G12),NºAsuntos!I12/NºAsuntos!G12," - ")</f>
        <v>5.3742621015348284</v>
      </c>
      <c r="D12" s="443">
        <f>IF(ISNUMBER('Resol  Asuntos'!D12/NºAsuntos!G12),'Resol  Asuntos'!D12/NºAsuntos!G12," - ")</f>
        <v>0.29870129870129869</v>
      </c>
      <c r="E12" s="444">
        <f>IF(ISNUMBER((NºAsuntos!C12+NºAsuntos!E12)/NºAsuntos!G12),(NºAsuntos!C12+NºAsuntos!E12)/NºAsuntos!G12," - ")</f>
        <v>5.9303423848878394</v>
      </c>
      <c r="G12" s="462"/>
    </row>
    <row r="13" spans="1:7" ht="14.25" thickTop="1" thickBot="1">
      <c r="A13" s="847" t="str">
        <f>Datos!A13</f>
        <v>TOTAL</v>
      </c>
      <c r="B13" s="857">
        <f>IF(ISNUMBER(NºAsuntos!G13/NºAsuntos!E13),NºAsuntos!G13/NºAsuntos!E13," - ")</f>
        <v>1.3621794871794872</v>
      </c>
      <c r="C13" s="858">
        <f>IF(ISNUMBER(NºAsuntos!I13/NºAsuntos!G13),NºAsuntos!I13/NºAsuntos!G13," - ")</f>
        <v>5.368235294117647</v>
      </c>
      <c r="D13" s="859">
        <f>IF(ISNUMBER('Resol  Asuntos'!D13/NºAsuntos!G13),'Resol  Asuntos'!D13/NºAsuntos!G13," - ")</f>
        <v>0.30117647058823527</v>
      </c>
      <c r="E13" s="860">
        <f>IF(ISNUMBER((NºAsuntos!C13+NºAsuntos!E13)/NºAsuntos!G13),(NºAsuntos!C13+NºAsuntos!E13)/NºAsuntos!G13," - ")</f>
        <v>5.9258823529411764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0.75889781859931116</v>
      </c>
      <c r="C16" s="442">
        <f>IF(ISNUMBER(NºAsuntos!I16/NºAsuntos!G16),NºAsuntos!I16/NºAsuntos!G16," - ")</f>
        <v>3.2450832072617248</v>
      </c>
      <c r="D16" s="443">
        <f>IF(ISNUMBER('Resol  Asuntos'!D16/NºAsuntos!G16),'Resol  Asuntos'!D16/NºAsuntos!G16," - ")</f>
        <v>0.1043872919818457</v>
      </c>
      <c r="E16" s="444">
        <f>IF(ISNUMBER((NºAsuntos!C16+NºAsuntos!E16)/NºAsuntos!G16),(NºAsuntos!C16+NºAsuntos!E16)/NºAsuntos!G16," - ")</f>
        <v>4.2375189107413007</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4.4782608695652177</v>
      </c>
      <c r="D17" s="443">
        <f>IF(ISNUMBER('Resol  Asuntos'!D17/NºAsuntos!G17),'Resol  Asuntos'!D17/NºAsuntos!G17," - ")</f>
        <v>0</v>
      </c>
      <c r="E17" s="444">
        <f>IF(ISNUMBER((NºAsuntos!C17+NºAsuntos!E17)/NºAsuntos!G17),(NºAsuntos!C17+NºAsuntos!E17)/NºAsuntos!G17," - ")</f>
        <v>5.4782608695652177</v>
      </c>
      <c r="G17" s="462"/>
    </row>
    <row r="18" spans="1:7" ht="14.25" thickTop="1" thickBot="1">
      <c r="A18" s="847" t="str">
        <f>Datos!A18</f>
        <v>TOTAL</v>
      </c>
      <c r="B18" s="857">
        <f>IF(ISNUMBER(NºAsuntos!G18/NºAsuntos!E18),NºAsuntos!G18/NºAsuntos!E18," - ")</f>
        <v>0.78530424799081511</v>
      </c>
      <c r="C18" s="858">
        <f>IF(ISNUMBER(NºAsuntos!I18/NºAsuntos!G18),NºAsuntos!I18/NºAsuntos!G18," - ")</f>
        <v>3.2865497076023393</v>
      </c>
      <c r="D18" s="861">
        <f>IF(ISNUMBER('Resol  Asuntos'!D18/NºAsuntos!G18),'Resol  Asuntos'!D18/NºAsuntos!G18," - ")</f>
        <v>0.10087719298245613</v>
      </c>
      <c r="E18" s="860">
        <f>IF(ISNUMBER((NºAsuntos!C18+NºAsuntos!E18)/NºAsuntos!G18),(NºAsuntos!C18+NºAsuntos!E18)/NºAsuntos!G18," - ")</f>
        <v>4.2792397660818713</v>
      </c>
      <c r="G18" s="462"/>
    </row>
    <row r="19" spans="1:7" ht="15.75" customHeight="1" thickTop="1" thickBot="1">
      <c r="A19" s="792" t="str">
        <f>Datos!A19</f>
        <v>TOTAL JURISDICCIONES</v>
      </c>
      <c r="B19" s="807">
        <f>IF(ISNUMBER(NºAsuntos!G19/NºAsuntos!E19),NºAsuntos!G19/NºAsuntos!E19," - ")</f>
        <v>1.0260869565217392</v>
      </c>
      <c r="C19" s="808">
        <f>IF(ISNUMBER(NºAsuntos!I19/NºAsuntos!G19),NºAsuntos!I19/NºAsuntos!G19," - ")</f>
        <v>4.4400260756192962</v>
      </c>
      <c r="D19" s="809">
        <f>IF(ISNUMBER('Resol  Asuntos'!D19/NºAsuntos!G19),'Resol  Asuntos'!D19/NºAsuntos!G19," - ")</f>
        <v>0.21186440677966101</v>
      </c>
      <c r="E19" s="810">
        <f>IF(ISNUMBER((NºAsuntos!C19+NºAsuntos!E19)/NºAsuntos!G19),(NºAsuntos!C19+NºAsuntos!E19)/NºAsuntos!G19," - ")</f>
        <v>5.1916558018252932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q2JS7RLEo545QTLtBui5/Sm2stG/fOLy7Z4/P4fLxVZSXX4D3X1mAojus25FF+dQwUWs+R8QBi1RzGpo1+8sg==" saltValue="OjoSV9VemWuf3IfNuCsP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SANTA 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11</v>
      </c>
      <c r="AB10" s="333">
        <f>IF(ISNUMBER(Datos!R10),Datos!R10," - ")</f>
        <v>6</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7.3333333333333321</v>
      </c>
      <c r="AN10" s="243">
        <f>IF(ISNUMBER('Resol  Asuntos'!D10/NºAsuntos!G10),'Resol  Asuntos'!D10/NºAsuntos!G10," - ")</f>
        <v>1</v>
      </c>
      <c r="AO10" s="244">
        <f>IF(ISNUMBER((NºAsuntos!C10+NºAsuntos!E10)/NºAsuntos!G10),(NºAsuntos!C10+NºAsuntos!E10)/NºAsuntos!G10," - ")</f>
        <v>4.666666666666667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90</v>
      </c>
      <c r="Y12" s="333">
        <f t="shared" si="0"/>
        <v>90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6058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253</v>
      </c>
      <c r="AJ12" s="228" t="str">
        <f>IF(ISNUMBER(Datos!BW12),Datos!BW12," - ")</f>
        <v xml:space="preserve"> - </v>
      </c>
      <c r="AK12" s="227" t="str">
        <f>IF(ISNUMBER(Datos!BX12),Datos!BX12," - ")</f>
        <v xml:space="preserve"> - </v>
      </c>
      <c r="AL12" s="242">
        <f>IF(ISNUMBER(NºAsuntos!G12/NºAsuntos!E12),NºAsuntos!G12/NºAsuntos!E12," - ")</f>
        <v>1.3573717948717949</v>
      </c>
      <c r="AM12" s="259">
        <f>IF(ISNUMBER(((NºAsuntos!I12/NºAsuntos!G12)*11)/factor_trimestre),((NºAsuntos!I12/NºAsuntos!G12)*11)/factor_trimestre," - ")</f>
        <v>10.748524203069657</v>
      </c>
      <c r="AN12" s="243">
        <f>IF(ISNUMBER('Resol  Asuntos'!D12/NºAsuntos!G12),'Resol  Asuntos'!D12/NºAsuntos!G12," - ")</f>
        <v>0.29870129870129869</v>
      </c>
      <c r="AO12" s="244">
        <f>IF(ISNUMBER((NºAsuntos!C12+NºAsuntos!E12)/NºAsuntos!G12),(NºAsuntos!C12+NºAsuntos!E12)/NºAsuntos!G12," - ")</f>
        <v>5.9303423848878394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14</v>
      </c>
      <c r="G13" s="865">
        <f t="shared" si="3"/>
        <v>14</v>
      </c>
      <c r="H13" s="864">
        <f t="shared" si="3"/>
        <v>0</v>
      </c>
      <c r="I13" s="866">
        <f t="shared" si="3"/>
        <v>0</v>
      </c>
      <c r="J13" s="866">
        <f t="shared" si="3"/>
        <v>0</v>
      </c>
      <c r="K13" s="866">
        <f t="shared" si="3"/>
        <v>0</v>
      </c>
      <c r="L13" s="866">
        <f t="shared" si="3"/>
        <v>336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90</v>
      </c>
      <c r="Y13" s="867">
        <f t="shared" si="4"/>
        <v>93</v>
      </c>
      <c r="Z13" s="867">
        <f t="shared" si="4"/>
        <v>0</v>
      </c>
      <c r="AA13" s="867">
        <f t="shared" si="4"/>
        <v>11</v>
      </c>
      <c r="AB13" s="867">
        <f t="shared" si="4"/>
        <v>6064</v>
      </c>
      <c r="AC13" s="867">
        <f t="shared" si="4"/>
        <v>17</v>
      </c>
      <c r="AD13" s="867">
        <f t="shared" si="4"/>
        <v>0</v>
      </c>
      <c r="AE13" s="871">
        <f t="shared" si="4"/>
        <v>0</v>
      </c>
      <c r="AF13" s="864">
        <f t="shared" si="4"/>
        <v>0</v>
      </c>
      <c r="AG13" s="872">
        <f t="shared" si="4"/>
        <v>0</v>
      </c>
      <c r="AH13" s="869">
        <f t="shared" si="4"/>
        <v>0</v>
      </c>
      <c r="AI13" s="864">
        <f t="shared" si="4"/>
        <v>256</v>
      </c>
      <c r="AJ13" s="866">
        <f t="shared" si="4"/>
        <v>0</v>
      </c>
      <c r="AK13" s="869">
        <f>SUBTOTAL(9,AK9:AK12)</f>
        <v>0</v>
      </c>
      <c r="AL13" s="873">
        <f>IF(ISNUMBER(NºAsuntos!G13/NºAsuntos!E13),NºAsuntos!G13/NºAsuntos!E13," - ")</f>
        <v>1.3621794871794872</v>
      </c>
      <c r="AM13" s="873">
        <f>IF(ISNUMBER(((NºAsuntos!I13/NºAsuntos!G13)*11)/factor_trimestre),((NºAsuntos!I13/NºAsuntos!G13)*11)/factor_trimestre," - ")</f>
        <v>10.736470588235294</v>
      </c>
      <c r="AN13" s="874">
        <f>IF(ISNUMBER('Resol  Asuntos'!D13/NºAsuntos!G13),'Resol  Asuntos'!D13/NºAsuntos!G13," - ")</f>
        <v>0.30117647058823527</v>
      </c>
      <c r="AO13" s="875">
        <f>IF(ISNUMBER((NºAsuntos!C13+NºAsuntos!E13)/NºAsuntos!G13),(NºAsuntos!C13+NºAsuntos!E13)/NºAsuntos!G13," - ")</f>
        <v>5.9258823529411764</v>
      </c>
      <c r="AP13" s="876" t="str">
        <f t="shared" si="2"/>
        <v xml:space="preserve"> - </v>
      </c>
      <c r="AQ13" s="876">
        <f>IF(ISNUMBER((H13-W13+K13)/(F13)),(H13-W13+K13)/(F13)," - ")</f>
        <v>-0.21428571428571427</v>
      </c>
      <c r="AR13" s="877">
        <f>IF(ISNUMBER((Datos!P13-Datos!Q13)/(Datos!R13-Datos!P13+Datos!Q13)),(Datos!P13-Datos!Q13)/(Datos!R13-Datos!P13+Datos!Q13)," - ")</f>
        <v>4.2282571330354075E-2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1935</v>
      </c>
      <c r="G16" s="332">
        <f>IF(ISNUMBER(IF(D_I="SI",Datos!I16,Datos!I16+Datos!AC16)),IF(D_I="SI",Datos!I16,Datos!I16+Datos!AC16)," - ")</f>
        <v>1930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661</v>
      </c>
      <c r="X16" s="225">
        <f>IF(ISNUMBER(Datos!Q16),Datos!Q16," - ")</f>
        <v>0</v>
      </c>
      <c r="Y16" s="333">
        <f t="shared" ref="Y16:Y17" si="7">SUM(W16:X16)</f>
        <v>661</v>
      </c>
      <c r="Z16" s="334" t="str">
        <f>IF(ISNUMBER(Datos!CC16),Datos!CC16," - ")</f>
        <v xml:space="preserve"> - </v>
      </c>
      <c r="AA16" s="331">
        <f>IF(ISNUMBER(IF(D_I="SI",Datos!L16,Datos!L16+Datos!AF16)),IF(D_I="SI",Datos!L16,Datos!L16+Datos!AF16)," - ")</f>
        <v>2145</v>
      </c>
      <c r="AB16" s="333">
        <f>IF(ISNUMBER(Datos!R16),Datos!R16," - ")</f>
        <v>353</v>
      </c>
      <c r="AC16" s="333">
        <f t="shared" si="6"/>
        <v>2498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69</v>
      </c>
      <c r="AJ16" s="230" t="str">
        <f>IF(ISNUMBER(Datos!BW16),Datos!BW16," - ")</f>
        <v xml:space="preserve"> - </v>
      </c>
      <c r="AK16" s="231" t="str">
        <f>IF(ISNUMBER(Datos!BX16),Datos!BX16," - ")</f>
        <v xml:space="preserve"> - </v>
      </c>
      <c r="AL16" s="242">
        <f>IF(ISNUMBER(NºAsuntos!G16/NºAsuntos!E16),NºAsuntos!G16/NºAsuntos!E16," - ")</f>
        <v>0.75889781859931116</v>
      </c>
      <c r="AM16" s="259">
        <f>IF(ISNUMBER(((NºAsuntos!I16/NºAsuntos!G16)*11)/factor_trimestre),((NºAsuntos!I16/NºAsuntos!G16)*11)/factor_trimestre," - ")</f>
        <v>6.4901664145234497</v>
      </c>
      <c r="AN16" s="243">
        <f>IF(ISNUMBER('Resol  Asuntos'!D16/NºAsuntos!G16),'Resol  Asuntos'!D16/NºAsuntos!G16," - ")</f>
        <v>0.1043872919818457</v>
      </c>
      <c r="AO16" s="244">
        <f>IF(ISNUMBER((NºAsuntos!C16+NºAsuntos!E16)/NºAsuntos!G16),(NºAsuntos!C16+NºAsuntos!E16)/NºAsuntos!G16," - ")</f>
        <v>4.2375189107413007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4</v>
      </c>
      <c r="Y17" s="333">
        <f t="shared" si="7"/>
        <v>27</v>
      </c>
      <c r="Z17" s="334" t="str">
        <f>IF(ISNUMBER(Datos!CC17),Datos!CC17," - ")</f>
        <v xml:space="preserve"> - </v>
      </c>
      <c r="AA17" s="331">
        <f>IF(ISNUMBER(Datos!L17),Datos!L17,"-")</f>
        <v>103</v>
      </c>
      <c r="AB17" s="333">
        <f>IF(ISNUMBER(Datos!R17),Datos!R17," - ")</f>
        <v>0</v>
      </c>
      <c r="AC17" s="333">
        <f t="shared" si="6"/>
        <v>103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8.9565217391304355</v>
      </c>
      <c r="AN17" s="243">
        <f>IF(ISNUMBER('Resol  Asuntos'!D17/NºAsuntos!G17),'Resol  Asuntos'!D17/NºAsuntos!G17," - ")</f>
        <v>0</v>
      </c>
      <c r="AO17" s="244">
        <f>IF(ISNUMBER((NºAsuntos!C17+NºAsuntos!E17)/NºAsuntos!G17),(NºAsuntos!C17+NºAsuntos!E17)/NºAsuntos!G17," - ")</f>
        <v>5.4782608695652177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1935</v>
      </c>
      <c r="G18" s="865">
        <f>SUBTOTAL(9,G15:G17)</f>
        <v>2056</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684</v>
      </c>
      <c r="X18" s="866">
        <f t="shared" si="11"/>
        <v>4</v>
      </c>
      <c r="Y18" s="867">
        <f t="shared" si="11"/>
        <v>688</v>
      </c>
      <c r="Z18" s="867">
        <f t="shared" si="11"/>
        <v>0</v>
      </c>
      <c r="AA18" s="867">
        <f t="shared" si="11"/>
        <v>2248</v>
      </c>
      <c r="AB18" s="867">
        <f t="shared" si="11"/>
        <v>353</v>
      </c>
      <c r="AC18" s="867">
        <f t="shared" si="11"/>
        <v>2601</v>
      </c>
      <c r="AD18" s="867">
        <f t="shared" si="11"/>
        <v>0</v>
      </c>
      <c r="AE18" s="871">
        <f t="shared" si="11"/>
        <v>0</v>
      </c>
      <c r="AF18" s="864">
        <f t="shared" si="11"/>
        <v>0</v>
      </c>
      <c r="AG18" s="872">
        <f t="shared" si="11"/>
        <v>0</v>
      </c>
      <c r="AH18" s="869">
        <f t="shared" si="11"/>
        <v>0</v>
      </c>
      <c r="AI18" s="864">
        <f t="shared" si="11"/>
        <v>69</v>
      </c>
      <c r="AJ18" s="866">
        <f t="shared" si="11"/>
        <v>0</v>
      </c>
      <c r="AK18" s="869">
        <f t="shared" si="11"/>
        <v>0</v>
      </c>
      <c r="AL18" s="873">
        <f>IF(ISNUMBER(NºAsuntos!G18/NºAsuntos!E18),NºAsuntos!G18/NºAsuntos!E18," - ")</f>
        <v>0.78530424799081511</v>
      </c>
      <c r="AM18" s="873">
        <f>IF(ISNUMBER(((NºAsuntos!I18/NºAsuntos!G18)*11)/factor_trimestre),((NºAsuntos!I18/NºAsuntos!G18)*11)/factor_trimestre," - ")</f>
        <v>6.5730994152046796</v>
      </c>
      <c r="AN18" s="874">
        <f>IF(ISNUMBER('Resol  Asuntos'!D18/NºAsuntos!G18),'Resol  Asuntos'!D18/NºAsuntos!G18," - ")</f>
        <v>0.10087719298245613</v>
      </c>
      <c r="AO18" s="875">
        <f>IF(ISNUMBER((NºAsuntos!C18+NºAsuntos!E18)/NºAsuntos!G18),(NºAsuntos!C18+NºAsuntos!E18)/NºAsuntos!G18," - ")</f>
        <v>4.2792397660818713</v>
      </c>
      <c r="AP18" s="876" t="str">
        <f t="shared" si="2"/>
        <v xml:space="preserve"> - </v>
      </c>
      <c r="AQ18" s="876">
        <f>IF(ISNUMBER((H18-W18+K18)/(F18)),(H18-W18+K18)/(F18)," - ")</f>
        <v>-0.35348837209302325</v>
      </c>
      <c r="AR18" s="877">
        <f>IF(ISNUMBER((Datos!P18-Datos!Q18)/(Datos!R18-Datos!P18+Datos!Q18)),(Datos!P18-Datos!Q18)/(Datos!R18-Datos!P18+Datos!Q18)," - ")</f>
        <v>-1.1204481792717087E-2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1949</v>
      </c>
      <c r="G19" s="820">
        <f t="shared" si="13"/>
        <v>2070</v>
      </c>
      <c r="H19" s="819">
        <f t="shared" si="13"/>
        <v>0</v>
      </c>
      <c r="I19" s="821">
        <f t="shared" si="13"/>
        <v>0</v>
      </c>
      <c r="J19" s="821">
        <f t="shared" si="13"/>
        <v>0</v>
      </c>
      <c r="K19" s="880">
        <f t="shared" si="13"/>
        <v>0</v>
      </c>
      <c r="L19" s="821">
        <f t="shared" si="13"/>
        <v>336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687</v>
      </c>
      <c r="X19" s="820">
        <f t="shared" si="14"/>
        <v>94</v>
      </c>
      <c r="Y19" s="827">
        <f t="shared" si="14"/>
        <v>781</v>
      </c>
      <c r="Z19" s="827">
        <f t="shared" si="14"/>
        <v>0</v>
      </c>
      <c r="AA19" s="827">
        <f t="shared" si="14"/>
        <v>2259</v>
      </c>
      <c r="AB19" s="827">
        <f t="shared" si="14"/>
        <v>6417</v>
      </c>
      <c r="AC19" s="827">
        <f t="shared" si="14"/>
        <v>2618</v>
      </c>
      <c r="AD19" s="827">
        <f t="shared" si="14"/>
        <v>0</v>
      </c>
      <c r="AE19" s="829">
        <f t="shared" si="14"/>
        <v>0</v>
      </c>
      <c r="AF19" s="830">
        <f t="shared" si="14"/>
        <v>0</v>
      </c>
      <c r="AG19" s="831">
        <f t="shared" si="14"/>
        <v>0</v>
      </c>
      <c r="AH19" s="829">
        <f t="shared" si="14"/>
        <v>0</v>
      </c>
      <c r="AI19" s="819">
        <f t="shared" si="14"/>
        <v>325</v>
      </c>
      <c r="AJ19" s="819">
        <f t="shared" si="14"/>
        <v>0</v>
      </c>
      <c r="AK19" s="829">
        <f t="shared" si="14"/>
        <v>0</v>
      </c>
      <c r="AL19" s="883">
        <f>IF(ISNUMBER(NºAsuntos!G19/NºAsuntos!E19),NºAsuntos!G19/NºAsuntos!E19," - ")</f>
        <v>1.0260869565217392</v>
      </c>
      <c r="AM19" s="884">
        <f>IF(ISNUMBER(((NºAsuntos!I19/NºAsuntos!G19)*11)/factor_trimestre),((NºAsuntos!I19/NºAsuntos!G19)*11)/factor_trimestre," - ")</f>
        <v>8.8800521512385924</v>
      </c>
      <c r="AN19" s="884">
        <f>IF(ISNUMBER('Resol  Asuntos'!D19/NºAsuntos!G19),'Resol  Asuntos'!D19/NºAsuntos!G19," - ")</f>
        <v>0.21186440677966101</v>
      </c>
      <c r="AO19" s="885">
        <f>IF(ISNUMBER((NºAsuntos!C19+NºAsuntos!E19)/NºAsuntos!G19),(NºAsuntos!C19+NºAsuntos!E19)/NºAsuntos!G19," - ")</f>
        <v>5.1916558018252932</v>
      </c>
      <c r="AP19" s="886" t="str">
        <f t="shared" si="2"/>
        <v xml:space="preserve"> - </v>
      </c>
      <c r="AQ19" s="887">
        <f>IF(OR(ISNUMBER(FIND("01",Criterios!A8,1)),ISNUMBER(FIND("02",Criterios!A8,1)),ISNUMBER(FIND("03",Criterios!A8,1)),ISNUMBER(FIND("04",Criterios!A8,1))),(I19-W19+K19)/(F19-K19),(H19-W19+K19)/(F19-K19))</f>
        <v>-0.35248845561826575</v>
      </c>
      <c r="AR19" s="888">
        <f>IF(ISNUMBER((Datos!P19-Datos!Q19)/(Datos!R19-Datos!P19+Datos!Q19)),(Datos!P19-Datos!Q19)/(Datos!R19-Datos!P19+Datos!Q19)," - ")</f>
        <v>3.9190283400809718E-2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1109.0898671132711</v>
      </c>
      <c r="G21" s="252">
        <f>IF(ISNUMBER(STDEV(G8:G18)),STDEV(G8:G18),"-")</f>
        <v>1065.4088417128892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363.23160655427552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117.18304769319948</v>
      </c>
      <c r="AJ21" s="251">
        <f t="shared" si="18"/>
        <v>0</v>
      </c>
      <c r="AK21" s="253">
        <f t="shared" si="18"/>
        <v>0</v>
      </c>
      <c r="AL21" s="248">
        <f t="shared" si="18"/>
        <v>0.33947098613409021</v>
      </c>
      <c r="AM21" s="249">
        <f t="shared" si="18"/>
        <v>1.9685118309755374</v>
      </c>
      <c r="AN21" s="249">
        <f t="shared" si="18"/>
        <v>0.36274312878152443</v>
      </c>
      <c r="AO21" s="250">
        <f t="shared" si="18"/>
        <v>0.7897856784186007</v>
      </c>
      <c r="AP21" s="290" t="str">
        <f t="shared" si="18"/>
        <v>-</v>
      </c>
      <c r="AQ21" s="291">
        <f t="shared" si="18"/>
        <v>9.8431143294738871E-2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5mAsOS+ItzFevxmv6EAn37lPIoJ7Bn1/ZflaZ+5ex7vMIVfem18hvngNqr+51HPgHb7CpduoZct1eTOUDztOQ==" saltValue="NDDoPrC9smoYV3jB5wOa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SANTA FE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-0.75862068965517238</v>
      </c>
      <c r="E10" s="347" t="str">
        <f>IF(ISNUMBER((Datos!J10-Datos!T10)/Datos!T10),(Datos!J10-Datos!T10)/Datos!T10," - ")</f>
        <v xml:space="preserve"> - </v>
      </c>
      <c r="F10" s="347">
        <f>IF(ISNUMBER((Datos!K10-Datos!U10)/Datos!U10),(Datos!K10-Datos!U10)/Datos!U10," - ")</f>
        <v>-0.25</v>
      </c>
      <c r="G10" s="348">
        <f>IF(ISNUMBER((Datos!L10-Datos!V10)/Datos!V10),(Datos!L10-Datos!V10)/Datos!V10," - ")</f>
        <v>-0.79629629629629628</v>
      </c>
      <c r="H10" s="229">
        <f>IF(ISNUMBER((Datos!M10-Datos!W10)/Datos!W10),(Datos!M10-Datos!W10)/Datos!W10," - ")</f>
        <v>0</v>
      </c>
      <c r="I10" s="349">
        <f>IF(ISNUMBER((Tasas!C10-Datos!BE10)/Datos!BE10),(Tasas!C10-Datos!BE10)/Datos!BE10," - ")</f>
        <v>-0.72839506172839508</v>
      </c>
      <c r="J10" s="348">
        <f>IF(ISNUMBER((Tasas!D10-Datos!BF10)/Datos!BF10),(Tasas!D10-Datos!BF10)/Datos!BF10," - ")</f>
        <v>0.33333333333333331</v>
      </c>
      <c r="K10" s="350">
        <f>IF(ISNUMBER((Tasas!E10-Datos!BG10)/Datos!BG10),(Tasas!E10-Datos!BG10)/Datos!BG10," - ")</f>
        <v>-0.67816091954022983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0.4375</v>
      </c>
      <c r="I12" s="349">
        <f>IF(ISNUMBER((Tasas!C12-Datos!BE12)/Datos!BE12),(Tasas!C12-Datos!BE12)/Datos!BE12," - ")</f>
        <v>0.22161271974375854</v>
      </c>
      <c r="J12" s="348">
        <f>IF(ISNUMBER((Tasas!D12-Datos!BF12)/Datos!BF12),(Tasas!D12-Datos!BF12)/Datos!BF12," - ")</f>
        <v>-0.24983302411873845</v>
      </c>
      <c r="K12" s="350">
        <f>IF(ISNUMBER((Tasas!E12-Datos!BG12)/Datos!BG12),(Tasas!E12-Datos!BG12)/Datos!BG12," - ")</f>
        <v>9.5119948805968649E-2</v>
      </c>
      <c r="M12" t="e">
        <f>IF(Monitorios="SI",Datos!CE12,0)</f>
        <v>#REF!</v>
      </c>
      <c r="N12" t="e">
        <f>IF(Monitorios="SI",Datos!CF12,0)</f>
        <v>#REF!</v>
      </c>
      <c r="O12" t="e">
        <f>IF(Monitorios="SI",Datos!CG12,0)</f>
        <v>#REF!</v>
      </c>
      <c r="P12" t="e">
        <f>IF(Monitorios="SI",Datos!CH12,0)</f>
        <v>#REF!</v>
      </c>
      <c r="Q12">
        <f>IF(J_V="SI",0,Datos!AG12)</f>
        <v>213</v>
      </c>
      <c r="R12">
        <f>IF(J_V="SI",0,Datos!AH12)</f>
        <v>62</v>
      </c>
      <c r="S12">
        <f>IF(J_V="SI",0,Datos!AI12)</f>
        <v>59</v>
      </c>
      <c r="T12">
        <f>IF(J_V="SI",0,Datos!AJ12)</f>
        <v>216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0.43016759776536312</v>
      </c>
      <c r="I13" s="356">
        <f>IF(ISNUMBER((Tasas!C13-Datos!BE13)/Datos!BE13),(Tasas!C13-Datos!BE13)/Datos!BE13," - ")</f>
        <v>0.20891399252891668</v>
      </c>
      <c r="J13" s="354">
        <f>IF(ISNUMBER((Tasas!D13-Datos!BF13)/Datos!BF13),(Tasas!D13-Datos!BF13)/Datos!BF13," - ")</f>
        <v>-0.24663222796200637</v>
      </c>
      <c r="K13" s="357">
        <f>IF(ISNUMBER((Tasas!E13-Datos!BG13)/Datos!BG13),(Tasas!E13-Datos!BG13)/Datos!BG13," - ")</f>
        <v>8.6042780748663075E-2</v>
      </c>
      <c r="M13" t="e">
        <f>IF(Monitorios="SI",Datos!CE13,0)</f>
        <v>#REF!</v>
      </c>
      <c r="N13" t="e">
        <f>IF(Monitorios="SI",Datos!CF13,0)</f>
        <v>#REF!</v>
      </c>
      <c r="O13" t="e">
        <f>IF(Monitorios="SI",Datos!CG13,0)</f>
        <v>#REF!</v>
      </c>
      <c r="P13" t="e">
        <f>IF(Monitorios="SI",Datos!CH13,0)</f>
        <v>#REF!</v>
      </c>
      <c r="Q13">
        <f>IF(J_V="SI",0,Datos!AG13)</f>
        <v>213</v>
      </c>
      <c r="R13">
        <f>IF(J_V="SI",0,Datos!AH13)</f>
        <v>62</v>
      </c>
      <c r="S13">
        <f>IF(J_V="SI",0,Datos!AI13)</f>
        <v>59</v>
      </c>
      <c r="T13">
        <f>IF(J_V="SI",0,Datos!AJ13)</f>
        <v>216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7.6408254322364755E-2</v>
      </c>
      <c r="E16" s="347">
        <f>IF(ISNUMBER(
   IF(D_I="SI",(Datos!J16-Datos!T16)/Datos!T16,(Datos!J16+Datos!AD16-(Datos!T16+Datos!AL16))/(Datos!T16+Datos!AL16))
     ),IF(D_I="SI",(Datos!J16-Datos!T16)/Datos!T16,(Datos!J16+Datos!AD16-(Datos!T16+Datos!AL16))/(Datos!T16+Datos!AL16))," - ")</f>
        <v>-0.11303462321792261</v>
      </c>
      <c r="F16" s="347">
        <f>IF(ISNUMBER(
   IF(D_I="SI",(Datos!K16-Datos!U16)/Datos!U16,(Datos!K16+Datos!AE16-(Datos!U16+Datos!AM16))/(Datos!U16+Datos!AM16))
     ),IF(D_I="SI",(Datos!K16-Datos!U16)/Datos!U16,(Datos!K16+Datos!AE16-(Datos!U16+Datos!AM16))/(Datos!U16+Datos!AM16))," - ")</f>
        <v>-0.23847926267281105</v>
      </c>
      <c r="G16" s="348">
        <f>IF(ISNUMBER(
   IF(D_I="SI",(Datos!L16-Datos!V16)/Datos!V16,(Datos!L16+Datos!AF16-(Datos!V16+Datos!AN16))/(Datos!V16+Datos!AN16))
     ),IF(D_I="SI",(Datos!L16-Datos!V16)/Datos!V16,(Datos!L16+Datos!AF16-(Datos!V16+Datos!AN16))/(Datos!V16+Datos!AN16))," - ")</f>
        <v>0.11835245046923878</v>
      </c>
      <c r="H16" s="229">
        <f>IF(ISNUMBER((Datos!M16-Datos!W16)/Datos!W16),(Datos!M16-Datos!W16)/Datos!W16," - ")</f>
        <v>-0.3669724770642202</v>
      </c>
      <c r="I16" s="349">
        <f>IF(ISNUMBER((Tasas!C16-Datos!BE16)/Datos!BE16),(Tasas!C16-Datos!BE16)/Datos!BE16," - ")</f>
        <v>0.46857780182647413</v>
      </c>
      <c r="J16" s="348">
        <f>IF(ISNUMBER((Tasas!D16-Datos!BF16)/Datos!BF16),(Tasas!D16-Datos!BF16)/Datos!BF16," - ")</f>
        <v>-0.16873239045649491</v>
      </c>
      <c r="K16" s="350">
        <f>IF(ISNUMBER((Tasas!E16-Datos!BG16)/Datos!BG16),(Tasas!E16-Datos!BG16)/Datos!BG16," - ")</f>
        <v>0.32546537460304464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-0.32978723404255317</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-0.47727272727272729</v>
      </c>
      <c r="G17" s="348">
        <f>IF(ISNUMBER(
   IF(D_I="SI",(Datos!L17-Datos!V17)/Datos!V17,(Datos!L17+Datos!AF17-(Datos!V17+Datos!AN17))/(Datos!V17+Datos!AN17))
     ),IF(D_I="SI",(Datos!L17-Datos!V17)/Datos!V17,(Datos!L17+Datos!AF17-(Datos!V17+Datos!AN17))/(Datos!V17+Datos!AN17))," - ")</f>
        <v>-0.455026455026455</v>
      </c>
      <c r="H17" s="229" t="str">
        <f>IF(ISNUMBER((Datos!M17-Datos!W17)/Datos!W17),(Datos!M17-Datos!W17)/Datos!W17," - ")</f>
        <v xml:space="preserve"> - </v>
      </c>
      <c r="I17" s="349">
        <f>IF(ISNUMBER((Tasas!C17-Datos!BE17)/Datos!BE17),(Tasas!C17-Datos!BE17)/Datos!BE17," - ")</f>
        <v>4.2558086036346886E-2</v>
      </c>
      <c r="J17" s="348" t="str">
        <f>IF(ISNUMBER((Tasas!D17-Datos!BF17)/Datos!BF17),(Tasas!D17-Datos!BF17)/Datos!BF17," - ")</f>
        <v xml:space="preserve"> - </v>
      </c>
      <c r="K17" s="350">
        <f>IF(ISNUMBER((Tasas!E17-Datos!BG17)/Datos!BG17),(Tasas!E17-Datos!BG17)/Datos!BG17," - ")</f>
        <v>0.26864988558352404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3.7859666834931853E-2</v>
      </c>
      <c r="E18" s="353">
        <f>IF(ISNUMBER(
   IF(D_I="SI",(Datos!J18-Datos!T18)/Datos!T18,(Datos!J18+Datos!AD18-(Datos!T18+Datos!AL18))/(Datos!T18+Datos!AL18))
     ),IF(D_I="SI",(Datos!J18-Datos!T18)/Datos!T18,(Datos!J18+Datos!AD18-(Datos!T18+Datos!AL18))/(Datos!T18+Datos!AL18))," - ")</f>
        <v>-0.11483739837398374</v>
      </c>
      <c r="F18" s="353">
        <f>IF(ISNUMBER(
   IF(D_I="SI",(Datos!K18-Datos!U18)/Datos!U18,(Datos!K18+Datos!AE18-(Datos!U18+Datos!AM18))/(Datos!U18+Datos!AM18))
     ),IF(D_I="SI",(Datos!K18-Datos!U18)/Datos!U18,(Datos!K18+Datos!AE18-(Datos!U18+Datos!AM18))/(Datos!U18+Datos!AM18))," - ")</f>
        <v>-0.25</v>
      </c>
      <c r="G18" s="354">
        <f>IF(ISNUMBER(
   IF(D_I="SI",(Datos!L18-Datos!V18)/Datos!V18,(Datos!L18+Datos!AF18-(Datos!V18+Datos!AN18))/(Datos!V18+Datos!AN18))
     ),IF(D_I="SI",(Datos!L18-Datos!V18)/Datos!V18,(Datos!L18+Datos!AF18-(Datos!V18+Datos!AN18))/(Datos!V18+Datos!AN18))," - ")</f>
        <v>6.6919791172282861E-2</v>
      </c>
      <c r="H18" s="355">
        <f>IF(ISNUMBER((Datos!M18-Datos!W18)/Datos!W18),(Datos!M18-Datos!W18)/Datos!W18," - ")</f>
        <v>-0.3669724770642202</v>
      </c>
      <c r="I18" s="356">
        <f>IF(ISNUMBER((Tasas!C18-Datos!BE18)/Datos!BE18),(Tasas!C18-Datos!BE18)/Datos!BE18," - ")</f>
        <v>0.42255972156304394</v>
      </c>
      <c r="J18" s="354">
        <f>IF(ISNUMBER((Tasas!D18-Datos!BF18)/Datos!BF18),(Tasas!D18-Datos!BF18)/Datos!BF18," - ")</f>
        <v>-0.15596330275229361</v>
      </c>
      <c r="K18" s="357">
        <f>IF(ISNUMBER((Tasas!E18-Datos!BG18)/Datos!BG18),(Tasas!E18-Datos!BG18)/Datos!BG18," - ")</f>
        <v>0.3162450815064643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0.12857641311933007</v>
      </c>
      <c r="E19" s="362">
        <f>IF(ISNUMBER(
   IF(J_V="SI",(Datos!J19-Datos!T19)/Datos!T19,(Datos!J19+Datos!Z19-(Datos!T19+Datos!AH19))/(Datos!T19+Datos!AH19))
     ),IF(J_V="SI",(Datos!J19-Datos!T19)/Datos!T19,(Datos!J19+Datos!Z19-(Datos!T19+Datos!AH19))/(Datos!T19+Datos!AH19))," - ")</f>
        <v>-0.27108727450024378</v>
      </c>
      <c r="F19" s="362">
        <f>IF(ISNUMBER(
   IF(J_V="SI",(Datos!K19-Datos!U19)/Datos!U19,(Datos!K19+Datos!AA19-(Datos!U19+Datos!AI19))/(Datos!U19+Datos!AI19))
     ),IF(J_V="SI",(Datos!K19-Datos!U19)/Datos!U19,(Datos!K19+Datos!AA19-(Datos!U19+Datos!AI19))/(Datos!U19+Datos!AI19))," - ")</f>
        <v>-0.14540389972144846</v>
      </c>
      <c r="G19" s="363">
        <f>IF(ISNUMBER(
   IF(J_V="SI",(Datos!L19-Datos!V19)/Datos!V19,(Datos!L19+Datos!AB19-(Datos!V19+Datos!AJ19))/(Datos!V19+Datos!AJ19))
     ),IF(J_V="SI",(Datos!L19-Datos!V19)/Datos!V19,(Datos!L19+Datos!AB19-(Datos!V19+Datos!AJ19))/(Datos!V19+Datos!AJ19))," - ")</f>
        <v>0.12989382879893829</v>
      </c>
      <c r="H19" s="364">
        <f>IF(ISNUMBER((Datos!M19-Datos!W19)/Datos!W19),(Datos!M19-Datos!W19)/Datos!W19," - ")</f>
        <v>0.12847222222222221</v>
      </c>
      <c r="I19" s="361">
        <f>IF(ISNUMBER((Tasas!C19-Datos!BE19)/Datos!BE19),(Tasas!C19-Datos!BE19)/Datos!BE19," - ")</f>
        <v>0.3221378244420432</v>
      </c>
      <c r="J19" s="362">
        <f>IF(ISNUMBER((Tasas!D19-Datos!BF19)/Datos!BF19),(Tasas!D19-Datos!BF19)/Datos!BF19," - ")</f>
        <v>-0.17684716413529972</v>
      </c>
      <c r="K19" s="363">
        <f>IF(ISNUMBER((Tasas!E19-Datos!BG19)/Datos!BG19),(Tasas!E19-Datos!BG19)/Datos!BG19," - ")</f>
        <v>0.19735605348533988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0.38914408645744725</v>
      </c>
      <c r="E21" s="277">
        <f t="shared" si="1"/>
        <v>0.51157007681023414</v>
      </c>
      <c r="F21" s="277">
        <f t="shared" si="1"/>
        <v>0.11568403758972196</v>
      </c>
      <c r="G21" s="278">
        <f t="shared" si="1"/>
        <v>0.43799029858124117</v>
      </c>
      <c r="H21" s="284">
        <f t="shared" si="1"/>
        <v>0.40069054796946263</v>
      </c>
      <c r="I21" s="276">
        <f t="shared" si="1"/>
        <v>0.43723455971116876</v>
      </c>
      <c r="J21" s="277">
        <f t="shared" si="1"/>
        <v>0.24472184338454406</v>
      </c>
      <c r="K21" s="278">
        <f t="shared" si="1"/>
        <v>0.38104770711657626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NtPSl22UzoGqhVrTe39QxplemxsMd8cH0xnVO8xPPTN0HZtq6q5SQs0E4h9IF5NXLO+2ORZrj4JG/Md95i9Cw==" saltValue="PE8IVmkh0omhGyRtOi1f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